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renschot.sharepoint.com/sites/MarketingCommunicatie/Gedeelde documenten/Marketing (adviesgroepen)/ZMO/Sociaal Domein/Inzichten/2024/"/>
    </mc:Choice>
  </mc:AlternateContent>
  <xr:revisionPtr revIDLastSave="0" documentId="8_{D22D0B1C-B6B2-4DD9-B65A-DD28F6B3F8ED}" xr6:coauthVersionLast="47" xr6:coauthVersionMax="47" xr10:uidLastSave="{00000000-0000-0000-0000-000000000000}"/>
  <workbookProtection workbookAlgorithmName="SHA-512" workbookHashValue="iP5Q8L9kfOTKiK5HAXmgDDx1AH+qsfXE6DZ4g8YXZAWDqEDmApcic+NSKhmwU9Mjds7E1GAO5FLW1+VjyMKH8w==" workbookSaltValue="2+paPv4I77cz9iUHlwxJPQ==" workbookSpinCount="100000" lockStructure="1"/>
  <bookViews>
    <workbookView xWindow="-120" yWindow="-120" windowWidth="29040" windowHeight="15720" firstSheet="1" activeTab="1" xr2:uid="{4744D74E-6808-42C2-AA05-E61D433D11EF}"/>
  </bookViews>
  <sheets>
    <sheet name="Blad1" sheetId="1" state="hidden" r:id="rId1"/>
    <sheet name="Rekenblad" sheetId="3" r:id="rId2"/>
    <sheet name="Blad5" sheetId="12" state="hidden" r:id="rId3"/>
    <sheet name="Aandeel in GF" sheetId="5" state="hidden" r:id="rId4"/>
    <sheet name="Gemeenten" sheetId="4" state="hidden" r:id="rId5"/>
    <sheet name="Blad3" sheetId="8" state="hidden" r:id="rId6"/>
    <sheet name="Blad2" sheetId="9" state="hidden" r:id="rId7"/>
    <sheet name="Blad6" sheetId="13" state="hidden" r:id="rId8"/>
    <sheet name="Diverse prijzen" sheetId="2" state="hidden" r:id="rId9"/>
    <sheet name="operationeel resultaat so-bedr" sheetId="10" state="hidden" r:id="rId10"/>
    <sheet name="Blad4" sheetId="11" state="hidden" r:id="rId11"/>
    <sheet name="Kleurenpalet" sheetId="6" state="hidden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3" l="1"/>
  <c r="H24" i="3"/>
  <c r="H25" i="3"/>
  <c r="H26" i="3"/>
  <c r="J27" i="3"/>
  <c r="H28" i="3"/>
  <c r="Q43" i="3" l="1"/>
  <c r="K43" i="3"/>
  <c r="J43" i="3"/>
  <c r="H43" i="3"/>
  <c r="R42" i="3"/>
  <c r="Q42" i="3"/>
  <c r="R41" i="3"/>
  <c r="K41" i="3"/>
  <c r="I41" i="3"/>
  <c r="B1" i="3"/>
  <c r="I112" i="13"/>
  <c r="I111" i="13"/>
  <c r="I110" i="13"/>
  <c r="F114" i="13" a="1"/>
  <c r="F114" i="13" s="1"/>
  <c r="D109" i="13"/>
  <c r="D114" i="13"/>
  <c r="D113" i="13"/>
  <c r="D112" i="13"/>
  <c r="C112" i="13"/>
  <c r="G112" i="13"/>
  <c r="F112" i="13"/>
  <c r="G111" i="13"/>
  <c r="J96" i="13"/>
  <c r="H96" i="13"/>
  <c r="F96" i="13"/>
  <c r="F95" i="13"/>
  <c r="F94" i="13"/>
  <c r="F93" i="13"/>
  <c r="F92" i="13"/>
  <c r="F91" i="13"/>
  <c r="D91" i="13"/>
  <c r="D96" i="13" s="1"/>
  <c r="B96" i="13"/>
  <c r="D95" i="13"/>
  <c r="D94" i="13"/>
  <c r="D93" i="13"/>
  <c r="D92" i="13"/>
  <c r="B95" i="13"/>
  <c r="B94" i="13"/>
  <c r="B93" i="13"/>
  <c r="B92" i="13"/>
  <c r="B91" i="13"/>
  <c r="B82" i="13"/>
  <c r="B83" i="13" s="1"/>
  <c r="B84" i="13" s="1"/>
  <c r="F76" i="13"/>
  <c r="F86" i="13" s="1"/>
  <c r="D76" i="13"/>
  <c r="B76" i="13"/>
  <c r="B86" i="13" s="1"/>
  <c r="H84" i="13"/>
  <c r="H81" i="13"/>
  <c r="H80" i="13"/>
  <c r="H79" i="13"/>
  <c r="H82" i="13" s="1"/>
  <c r="H83" i="13" s="1"/>
  <c r="L83" i="13"/>
  <c r="J83" i="13"/>
  <c r="L81" i="13"/>
  <c r="L80" i="13"/>
  <c r="L79" i="13"/>
  <c r="L78" i="13"/>
  <c r="L82" i="13" s="1"/>
  <c r="L77" i="13"/>
  <c r="L76" i="13"/>
  <c r="L75" i="13"/>
  <c r="T70" i="13"/>
  <c r="T69" i="13"/>
  <c r="T68" i="13"/>
  <c r="T67" i="13"/>
  <c r="T66" i="13"/>
  <c r="T65" i="13"/>
  <c r="T64" i="13"/>
  <c r="T63" i="13"/>
  <c r="T62" i="13"/>
  <c r="T61" i="13"/>
  <c r="T60" i="13"/>
  <c r="T59" i="13"/>
  <c r="T58" i="13"/>
  <c r="T57" i="13"/>
  <c r="T56" i="13"/>
  <c r="T55" i="13"/>
  <c r="T54" i="13"/>
  <c r="T53" i="13"/>
  <c r="T52" i="13"/>
  <c r="T51" i="13"/>
  <c r="T50" i="13"/>
  <c r="T49" i="13"/>
  <c r="T48" i="13"/>
  <c r="T47" i="13"/>
  <c r="T46" i="13"/>
  <c r="T45" i="13"/>
  <c r="T44" i="13"/>
  <c r="T43" i="13"/>
  <c r="T42" i="13"/>
  <c r="T41" i="13"/>
  <c r="T40" i="13"/>
  <c r="T39" i="13"/>
  <c r="T38" i="13"/>
  <c r="T37" i="13"/>
  <c r="T36" i="13"/>
  <c r="T35" i="13"/>
  <c r="T34" i="13"/>
  <c r="T33" i="13"/>
  <c r="T32" i="13"/>
  <c r="T31" i="13"/>
  <c r="T30" i="13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J82" i="13"/>
  <c r="J81" i="13"/>
  <c r="J80" i="13"/>
  <c r="J79" i="13"/>
  <c r="J78" i="13"/>
  <c r="J77" i="13"/>
  <c r="J76" i="13"/>
  <c r="J75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" i="13"/>
  <c r="H78" i="13"/>
  <c r="H77" i="13"/>
  <c r="H76" i="13"/>
  <c r="H75" i="13"/>
  <c r="F70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25" i="13"/>
  <c r="D86" i="13"/>
  <c r="F81" i="13"/>
  <c r="F80" i="13"/>
  <c r="F79" i="13"/>
  <c r="F82" i="13" s="1"/>
  <c r="F83" i="13" s="1"/>
  <c r="F84" i="13" s="1"/>
  <c r="F78" i="13"/>
  <c r="F75" i="13"/>
  <c r="D75" i="13"/>
  <c r="S106" i="13"/>
  <c r="L106" i="13"/>
  <c r="H108" i="13" s="1"/>
  <c r="E106" i="13"/>
  <c r="G99" i="13"/>
  <c r="G100" i="13"/>
  <c r="G101" i="13"/>
  <c r="G102" i="13"/>
  <c r="G103" i="13"/>
  <c r="G104" i="13"/>
  <c r="G105" i="13"/>
  <c r="G98" i="13"/>
  <c r="D82" i="13"/>
  <c r="D83" i="13" s="1"/>
  <c r="D84" i="13" s="1"/>
  <c r="D81" i="13"/>
  <c r="D80" i="13"/>
  <c r="D79" i="13"/>
  <c r="D78" i="13"/>
  <c r="B81" i="13"/>
  <c r="B80" i="13"/>
  <c r="B79" i="13"/>
  <c r="B78" i="13"/>
  <c r="B75" i="13"/>
  <c r="N70" i="13"/>
  <c r="H10" i="11"/>
  <c r="H9" i="11"/>
  <c r="F19" i="3"/>
  <c r="F20" i="3" s="1"/>
  <c r="E19" i="3"/>
  <c r="D19" i="3"/>
  <c r="J19" i="3" s="1"/>
  <c r="E20" i="3"/>
  <c r="D20" i="3"/>
  <c r="J20" i="3" s="1"/>
  <c r="F19" i="11"/>
  <c r="G19" i="11"/>
  <c r="G35" i="10"/>
  <c r="C19" i="11"/>
  <c r="C20" i="11" s="1"/>
  <c r="B19" i="11"/>
  <c r="B20" i="11" s="1"/>
  <c r="B14" i="11"/>
  <c r="C21" i="11" s="1"/>
  <c r="D33" i="2"/>
  <c r="E33" i="2"/>
  <c r="F33" i="2"/>
  <c r="G33" i="2"/>
  <c r="H33" i="2"/>
  <c r="I33" i="2"/>
  <c r="J33" i="2"/>
  <c r="C33" i="2"/>
  <c r="J32" i="2"/>
  <c r="I32" i="2"/>
  <c r="H32" i="2"/>
  <c r="G32" i="2"/>
  <c r="F32" i="2"/>
  <c r="E32" i="2"/>
  <c r="D32" i="2"/>
  <c r="C32" i="2"/>
  <c r="C34" i="2"/>
  <c r="D34" i="2"/>
  <c r="E34" i="2"/>
  <c r="F34" i="2"/>
  <c r="G34" i="2"/>
  <c r="H34" i="2"/>
  <c r="I34" i="2"/>
  <c r="J34" i="2"/>
  <c r="B34" i="2"/>
  <c r="AA27" i="2"/>
  <c r="B33" i="2"/>
  <c r="D117" i="2"/>
  <c r="E117" i="2"/>
  <c r="F117" i="2"/>
  <c r="G117" i="2"/>
  <c r="H117" i="2"/>
  <c r="I117" i="2"/>
  <c r="J117" i="2"/>
  <c r="C117" i="2"/>
  <c r="V9" i="11"/>
  <c r="I28" i="3" l="1"/>
  <c r="J36" i="3"/>
  <c r="Q19" i="3"/>
  <c r="H19" i="3" s="1"/>
  <c r="B21" i="11"/>
  <c r="B22" i="11"/>
  <c r="B24" i="11" s="1"/>
  <c r="C22" i="11"/>
  <c r="C24" i="11" s="1"/>
  <c r="B23" i="11"/>
  <c r="B25" i="11"/>
  <c r="C25" i="11"/>
  <c r="K28" i="3" l="1"/>
  <c r="C23" i="11"/>
  <c r="R9" i="11" l="1"/>
  <c r="C10" i="11"/>
  <c r="B10" i="11"/>
  <c r="C9" i="11"/>
  <c r="B9" i="11"/>
  <c r="C8" i="11"/>
  <c r="B8" i="11"/>
  <c r="T1" i="11"/>
  <c r="G2" i="9"/>
  <c r="E18" i="3"/>
  <c r="F18" i="3"/>
  <c r="D18" i="3"/>
  <c r="P18" i="3" l="1"/>
  <c r="F28" i="10"/>
  <c r="G28" i="10"/>
  <c r="F29" i="10"/>
  <c r="G29" i="10"/>
  <c r="F30" i="10"/>
  <c r="G30" i="10"/>
  <c r="F31" i="10"/>
  <c r="G31" i="10"/>
  <c r="F32" i="10"/>
  <c r="G32" i="10"/>
  <c r="F33" i="10"/>
  <c r="G33" i="10"/>
  <c r="G27" i="10"/>
  <c r="F27" i="10"/>
  <c r="D31" i="10"/>
  <c r="D32" i="10" s="1"/>
  <c r="C31" i="10"/>
  <c r="C32" i="10"/>
  <c r="D29" i="10"/>
  <c r="C29" i="10"/>
  <c r="C20" i="10"/>
  <c r="B20" i="10"/>
  <c r="C21" i="10"/>
  <c r="B21" i="10"/>
  <c r="C4" i="10"/>
  <c r="B4" i="10"/>
  <c r="B5" i="10" s="1"/>
  <c r="D27" i="10"/>
  <c r="D28" i="10" s="1"/>
  <c r="C27" i="10"/>
  <c r="D30" i="10"/>
  <c r="C6" i="10" s="1"/>
  <c r="C30" i="10"/>
  <c r="C19" i="10"/>
  <c r="D33" i="10" s="1"/>
  <c r="B19" i="10"/>
  <c r="C33" i="10" s="1"/>
  <c r="R22" i="10"/>
  <c r="T14" i="10"/>
  <c r="F27" i="3"/>
  <c r="H27" i="3" s="1"/>
  <c r="D44" i="9"/>
  <c r="B44" i="9"/>
  <c r="D43" i="9"/>
  <c r="B43" i="9"/>
  <c r="D42" i="9"/>
  <c r="B42" i="9"/>
  <c r="B41" i="9"/>
  <c r="D41" i="9" s="1"/>
  <c r="B39" i="9"/>
  <c r="D39" i="9" s="1"/>
  <c r="D45" i="9" s="1"/>
  <c r="D46" i="9" s="1"/>
  <c r="D38" i="9"/>
  <c r="F34" i="9"/>
  <c r="F33" i="9"/>
  <c r="F32" i="9"/>
  <c r="F31" i="9"/>
  <c r="F30" i="9"/>
  <c r="F29" i="9"/>
  <c r="F28" i="9"/>
  <c r="F27" i="9"/>
  <c r="F26" i="9"/>
  <c r="F25" i="9"/>
  <c r="F24" i="9"/>
  <c r="F23" i="9"/>
  <c r="B40" i="9" s="1"/>
  <c r="D40" i="9" s="1"/>
  <c r="F22" i="9"/>
  <c r="F21" i="9"/>
  <c r="F20" i="9"/>
  <c r="F19" i="9"/>
  <c r="F18" i="9"/>
  <c r="F17" i="9"/>
  <c r="B38" i="9" s="1"/>
  <c r="B45" i="9" s="1"/>
  <c r="F16" i="9"/>
  <c r="B110" i="2"/>
  <c r="C103" i="2"/>
  <c r="E103" i="2" s="1"/>
  <c r="C104" i="2"/>
  <c r="E104" i="2" s="1"/>
  <c r="C105" i="2"/>
  <c r="E105" i="2" s="1"/>
  <c r="C106" i="2"/>
  <c r="C107" i="2"/>
  <c r="C102" i="2"/>
  <c r="C7" i="10" l="1"/>
  <c r="C8" i="10" s="1"/>
  <c r="C5" i="10"/>
  <c r="B6" i="10"/>
  <c r="C28" i="10"/>
  <c r="B7" i="10" s="1"/>
  <c r="D103" i="2"/>
  <c r="D105" i="2"/>
  <c r="D104" i="2"/>
  <c r="B46" i="9"/>
  <c r="B47" i="9" s="1"/>
  <c r="C45" i="9"/>
  <c r="E108" i="2"/>
  <c r="J42" i="3"/>
  <c r="C64" i="2"/>
  <c r="E60" i="2"/>
  <c r="E56" i="2"/>
  <c r="D50" i="2"/>
  <c r="D51" i="2"/>
  <c r="D52" i="2"/>
  <c r="D53" i="2"/>
  <c r="D49" i="2"/>
  <c r="D108" i="2" l="1"/>
  <c r="D109" i="2" s="1"/>
  <c r="C9" i="10"/>
  <c r="B8" i="10"/>
  <c r="B9" i="10" s="1"/>
  <c r="E109" i="2"/>
  <c r="C36" i="2"/>
  <c r="H37" i="2"/>
  <c r="B81" i="2"/>
  <c r="F108" i="2" l="1"/>
  <c r="F109" i="2" s="1"/>
  <c r="I37" i="2"/>
  <c r="J37" i="2" s="1"/>
  <c r="D36" i="2"/>
  <c r="E36" i="2" s="1"/>
  <c r="F36" i="2" s="1"/>
  <c r="G36" i="2" s="1"/>
  <c r="H36" i="2" s="1"/>
  <c r="I36" i="2" s="1"/>
  <c r="J36" i="2" s="1"/>
  <c r="B90" i="2"/>
  <c r="N33" i="3" s="1"/>
  <c r="N43" i="3" s="1"/>
  <c r="N32" i="2"/>
  <c r="B91" i="2"/>
  <c r="R33" i="3" s="1"/>
  <c r="D65" i="2"/>
  <c r="E49" i="2"/>
  <c r="B74" i="2" s="1"/>
  <c r="E52" i="2"/>
  <c r="B77" i="2" s="1"/>
  <c r="D61" i="2" s="1"/>
  <c r="E51" i="2"/>
  <c r="B82" i="2" s="1"/>
  <c r="C60" i="2" s="1"/>
  <c r="E50" i="2"/>
  <c r="B75" i="2" s="1"/>
  <c r="D57" i="2" s="1"/>
  <c r="E53" i="2"/>
  <c r="B76" i="2" s="1"/>
  <c r="D58" i="2" s="1"/>
  <c r="D56" i="2" l="1"/>
  <c r="C59" i="2"/>
  <c r="C41" i="2" l="1"/>
  <c r="D41" i="2" s="1"/>
  <c r="B83" i="2" s="1"/>
  <c r="B84" i="2" s="1"/>
  <c r="D31" i="3" s="1"/>
  <c r="C42" i="2"/>
  <c r="D42" i="2" s="1"/>
  <c r="B86" i="2" s="1"/>
  <c r="C43" i="2"/>
  <c r="D43" i="2" s="1"/>
  <c r="B78" i="2" s="1"/>
  <c r="C44" i="2"/>
  <c r="D44" i="2" s="1"/>
  <c r="C45" i="2"/>
  <c r="D45" i="2" s="1"/>
  <c r="C46" i="2"/>
  <c r="D46" i="2" s="1"/>
  <c r="B92" i="2" s="1"/>
  <c r="D33" i="3" s="1"/>
  <c r="C40" i="2"/>
  <c r="D40" i="2" s="1"/>
  <c r="E6" i="2"/>
  <c r="E2" i="2"/>
  <c r="L30" i="3"/>
  <c r="D26" i="2"/>
  <c r="C26" i="2"/>
  <c r="E31" i="3" l="1"/>
  <c r="F31" i="3" s="1"/>
  <c r="I31" i="3" s="1"/>
  <c r="C62" i="2"/>
  <c r="B79" i="2"/>
  <c r="D30" i="3" s="1"/>
  <c r="E30" i="3" s="1"/>
  <c r="F30" i="3" s="1"/>
  <c r="C63" i="2"/>
  <c r="B88" i="2"/>
  <c r="D32" i="3" s="1"/>
  <c r="E32" i="3" s="1"/>
  <c r="F32" i="3" s="1"/>
  <c r="E33" i="3"/>
  <c r="F33" i="3" s="1"/>
  <c r="I42" i="3"/>
  <c r="B93" i="2" l="1"/>
  <c r="L25" i="3"/>
  <c r="U25" i="3" s="1"/>
  <c r="L31" i="3"/>
  <c r="R30" i="3"/>
  <c r="R43" i="3" s="1"/>
  <c r="R44" i="3" s="1"/>
  <c r="L28" i="3"/>
  <c r="U28" i="3" s="1"/>
  <c r="U31" i="3" l="1"/>
  <c r="S30" i="3"/>
  <c r="R36" i="3"/>
  <c r="S33" i="3"/>
  <c r="U33" i="3" s="1"/>
  <c r="U30" i="3" l="1"/>
  <c r="P34" i="3"/>
  <c r="S34" i="3" s="1"/>
  <c r="U34" i="3" s="1"/>
  <c r="L27" i="3"/>
  <c r="U27" i="3" s="1"/>
  <c r="L26" i="3" l="1"/>
  <c r="L20" i="3"/>
  <c r="U26" i="3" l="1"/>
  <c r="D11" i="2"/>
  <c r="D3" i="2"/>
  <c r="D4" i="2"/>
  <c r="C5" i="2"/>
  <c r="C6" i="2"/>
  <c r="D7" i="2"/>
  <c r="C8" i="2"/>
  <c r="C9" i="2"/>
  <c r="C10" i="2"/>
  <c r="D2" i="2"/>
  <c r="B13" i="2"/>
  <c r="C13" i="2" l="1"/>
  <c r="D13" i="2"/>
  <c r="P32" i="3"/>
  <c r="P43" i="3" s="1"/>
  <c r="J41" i="3"/>
  <c r="J44" i="3" s="1"/>
  <c r="L16" i="3" l="1"/>
  <c r="P17" i="3"/>
  <c r="Q16" i="3"/>
  <c r="P22" i="3"/>
  <c r="P42" i="3" l="1"/>
  <c r="H22" i="3"/>
  <c r="S19" i="3"/>
  <c r="P16" i="3"/>
  <c r="I32" i="3" s="1"/>
  <c r="I36" i="3" s="1"/>
  <c r="S22" i="3"/>
  <c r="S42" i="3" s="1"/>
  <c r="L24" i="3"/>
  <c r="U24" i="3" s="1"/>
  <c r="H23" i="3" l="1"/>
  <c r="H36" i="3" s="1"/>
  <c r="P36" i="3"/>
  <c r="P41" i="3"/>
  <c r="P44" i="3" s="1"/>
  <c r="S18" i="3"/>
  <c r="U18" i="3" s="1"/>
  <c r="S16" i="3"/>
  <c r="H41" i="3"/>
  <c r="Q20" i="3"/>
  <c r="S17" i="3"/>
  <c r="L22" i="3"/>
  <c r="N17" i="3"/>
  <c r="N41" i="3" s="1"/>
  <c r="U22" i="3" l="1"/>
  <c r="Q36" i="3"/>
  <c r="Q41" i="3"/>
  <c r="Q44" i="3" s="1"/>
  <c r="N23" i="3"/>
  <c r="K23" i="3" s="1"/>
  <c r="K36" i="3" s="1"/>
  <c r="U16" i="3"/>
  <c r="S20" i="3"/>
  <c r="U20" i="3" s="1"/>
  <c r="L19" i="3"/>
  <c r="L41" i="3" s="1"/>
  <c r="S32" i="3"/>
  <c r="S43" i="3" s="1"/>
  <c r="U17" i="3"/>
  <c r="I43" i="3" l="1"/>
  <c r="I44" i="3" s="1"/>
  <c r="H42" i="3"/>
  <c r="H44" i="3" s="1"/>
  <c r="N36" i="3"/>
  <c r="N42" i="3"/>
  <c r="N44" i="3" s="1"/>
  <c r="S41" i="3"/>
  <c r="S44" i="3" s="1"/>
  <c r="S36" i="3"/>
  <c r="U19" i="3"/>
  <c r="X19" i="3" s="1"/>
  <c r="L32" i="3"/>
  <c r="U41" i="3" l="1"/>
  <c r="K42" i="3"/>
  <c r="K44" i="3" s="1"/>
  <c r="U32" i="3"/>
  <c r="L43" i="3"/>
  <c r="L23" i="3"/>
  <c r="L36" i="3" l="1"/>
  <c r="L42" i="3"/>
  <c r="L44" i="3" s="1"/>
  <c r="X33" i="3"/>
  <c r="U43" i="3"/>
  <c r="U23" i="3"/>
  <c r="U36" i="3" l="1"/>
  <c r="U42" i="3"/>
  <c r="U44" i="3" s="1"/>
  <c r="X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tc={57BA8998-96D5-4E5F-BA64-FDF9788A9C97}</author>
  </authors>
  <commentList>
    <comment ref="B23" authorId="0" shapeId="0" xr:uid="{57BA8998-96D5-4E5F-BA64-FDF9788A9C97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Aangepast naar nieuw Sociaal Minimum</t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<sst xmlns="http://schemas.openxmlformats.org/spreadsheetml/2006/main" count="1697" uniqueCount="623">
  <si>
    <t>TOTAAL</t>
  </si>
  <si>
    <t xml:space="preserve">Gemeentelijke uitvoering W&amp;I </t>
  </si>
  <si>
    <t>Overig gemeente</t>
  </si>
  <si>
    <t>Rijksoverheid</t>
  </si>
  <si>
    <t>Kandidaten</t>
  </si>
  <si>
    <t>Reguliere werkgever</t>
  </si>
  <si>
    <t>Andere</t>
  </si>
  <si>
    <t>TOTAAL MKB</t>
  </si>
  <si>
    <t>LKS-VIA</t>
  </si>
  <si>
    <t>Loon</t>
  </si>
  <si>
    <t>Inkomstenbelasting</t>
  </si>
  <si>
    <t>Loonkostensubsidie</t>
  </si>
  <si>
    <t>Uitkering</t>
  </si>
  <si>
    <t>Uitvoeringskosten bijstand</t>
  </si>
  <si>
    <t>Uitvoeringskosten LKS</t>
  </si>
  <si>
    <t>Ontwikkeling</t>
  </si>
  <si>
    <t>Begeleiding</t>
  </si>
  <si>
    <t>Effect op BUIG-budget</t>
  </si>
  <si>
    <t>Effect op Cluster P AU/GF</t>
  </si>
  <si>
    <t>Bedrijfskosten</t>
  </si>
  <si>
    <t>Bedrijfsopbrengsten/NTW</t>
  </si>
  <si>
    <t>Operationeel resultaat</t>
  </si>
  <si>
    <t>Bijdrage aan SO-bedrijf</t>
  </si>
  <si>
    <t xml:space="preserve">Zorg  </t>
  </si>
  <si>
    <t>Veiligheid</t>
  </si>
  <si>
    <t>Algemene kwaliteit van leven</t>
  </si>
  <si>
    <t>Aantal te realiseren LKS</t>
  </si>
  <si>
    <t>Waarvan NUGGER</t>
  </si>
  <si>
    <t>Aantal uren werk per week</t>
  </si>
  <si>
    <t>Werkweek conform CAO</t>
  </si>
  <si>
    <t>Uitstroomkans na re-integratie</t>
  </si>
  <si>
    <t>Risico op terugval</t>
  </si>
  <si>
    <t>Eemsdelta</t>
  </si>
  <si>
    <t>Groningen</t>
  </si>
  <si>
    <t>Het Hogeland</t>
  </si>
  <si>
    <t>Midden-Groningen</t>
  </si>
  <si>
    <t>Oldambt</t>
  </si>
  <si>
    <t>Pekela</t>
  </si>
  <si>
    <t>Stadskanaal</t>
  </si>
  <si>
    <t>Veendam</t>
  </si>
  <si>
    <t>Westerkwartier</t>
  </si>
  <si>
    <t>Westerwolde</t>
  </si>
  <si>
    <t>Achtkarspelen</t>
  </si>
  <si>
    <t>Ameland</t>
  </si>
  <si>
    <t>Dantumadiel</t>
  </si>
  <si>
    <t>De Fryske Marren</t>
  </si>
  <si>
    <t>Harlingen</t>
  </si>
  <si>
    <t>Heerenveen</t>
  </si>
  <si>
    <t>Leeuwarden</t>
  </si>
  <si>
    <t>Noardeast-Fryslân</t>
  </si>
  <si>
    <t>Ooststellingwerf</t>
  </si>
  <si>
    <t>Opsterland</t>
  </si>
  <si>
    <t>Schiermonnikoog</t>
  </si>
  <si>
    <t>Smallingerland</t>
  </si>
  <si>
    <t>Súdwest-Fryslân</t>
  </si>
  <si>
    <t>Terschelling</t>
  </si>
  <si>
    <t>Tytsjerksteradiel</t>
  </si>
  <si>
    <t>Vlieland</t>
  </si>
  <si>
    <t>Waadhoeke</t>
  </si>
  <si>
    <t>Weststellingwerf</t>
  </si>
  <si>
    <t>Aa en Hunze</t>
  </si>
  <si>
    <t>Assen</t>
  </si>
  <si>
    <t>Borger-Odoorn</t>
  </si>
  <si>
    <t>Coevorden</t>
  </si>
  <si>
    <t>De Wolden</t>
  </si>
  <si>
    <t>Emmen</t>
  </si>
  <si>
    <t>Hoogeveen</t>
  </si>
  <si>
    <t>Meppel</t>
  </si>
  <si>
    <t>Midden-Drenthe</t>
  </si>
  <si>
    <t>Noordenveld</t>
  </si>
  <si>
    <t>Tynaarlo</t>
  </si>
  <si>
    <t>Westerveld</t>
  </si>
  <si>
    <t>Almelo</t>
  </si>
  <si>
    <t>Borne</t>
  </si>
  <si>
    <t>Dalfsen</t>
  </si>
  <si>
    <t>Deventer</t>
  </si>
  <si>
    <t>Dinkelland</t>
  </si>
  <si>
    <t>Enschede</t>
  </si>
  <si>
    <t>Haaksbergen</t>
  </si>
  <si>
    <t>Hardenberg</t>
  </si>
  <si>
    <t>Hellendoorn</t>
  </si>
  <si>
    <t>Hengelo</t>
  </si>
  <si>
    <t>Hof van Twente</t>
  </si>
  <si>
    <t>Kampen</t>
  </si>
  <si>
    <t>Losser</t>
  </si>
  <si>
    <t>Oldenzaal</t>
  </si>
  <si>
    <t>Olst-Wijhe</t>
  </si>
  <si>
    <t>Ommen</t>
  </si>
  <si>
    <t>Raalte</t>
  </si>
  <si>
    <t>Rijssen-Holten</t>
  </si>
  <si>
    <t>Staphorst</t>
  </si>
  <si>
    <t>Steenwijkerland</t>
  </si>
  <si>
    <t>Tubbergen</t>
  </si>
  <si>
    <t>Twenterand</t>
  </si>
  <si>
    <t>Wierden</t>
  </si>
  <si>
    <t>Zwartewaterland</t>
  </si>
  <si>
    <t>Zwolle</t>
  </si>
  <si>
    <t>Aalten</t>
  </si>
  <si>
    <t>Apeldoorn</t>
  </si>
  <si>
    <t>Arnhem</t>
  </si>
  <si>
    <t>Barneveld</t>
  </si>
  <si>
    <t>Berg en Dal</t>
  </si>
  <si>
    <t>Berkelland</t>
  </si>
  <si>
    <t>Beuningen</t>
  </si>
  <si>
    <t>Bronckhorst</t>
  </si>
  <si>
    <t>Brummen</t>
  </si>
  <si>
    <t>Buren</t>
  </si>
  <si>
    <t>Culemborg</t>
  </si>
  <si>
    <t>Doesburg</t>
  </si>
  <si>
    <t>Doetinchem</t>
  </si>
  <si>
    <t>Druten</t>
  </si>
  <si>
    <t>Duiven</t>
  </si>
  <si>
    <t>Ede</t>
  </si>
  <si>
    <t>Elburg</t>
  </si>
  <si>
    <t>Epe</t>
  </si>
  <si>
    <t>Ermelo</t>
  </si>
  <si>
    <t>Harderwijk</t>
  </si>
  <si>
    <t>Hattem</t>
  </si>
  <si>
    <t>Heerde</t>
  </si>
  <si>
    <t>Heumen</t>
  </si>
  <si>
    <t>Lingewaard</t>
  </si>
  <si>
    <t>Lochem</t>
  </si>
  <si>
    <t>Maasdriel</t>
  </si>
  <si>
    <t>Montferland</t>
  </si>
  <si>
    <t>Neder-Betuwe</t>
  </si>
  <si>
    <t>Nijkerk</t>
  </si>
  <si>
    <t>Nijmegen</t>
  </si>
  <si>
    <t>Nunspeet</t>
  </si>
  <si>
    <t>Oldebroek</t>
  </si>
  <si>
    <t>Oost Gelre</t>
  </si>
  <si>
    <t>Oude IJsselstreek</t>
  </si>
  <si>
    <t>Overbetuwe</t>
  </si>
  <si>
    <t>Putten</t>
  </si>
  <si>
    <t>Renkum</t>
  </si>
  <si>
    <t>Rheden</t>
  </si>
  <si>
    <t>Rozendaal</t>
  </si>
  <si>
    <t>Scherpenzeel</t>
  </si>
  <si>
    <t>Tiel</t>
  </si>
  <si>
    <t>Voorst</t>
  </si>
  <si>
    <t>Wageningen</t>
  </si>
  <si>
    <t>West Betuwe</t>
  </si>
  <si>
    <t>West Maas en Waal</t>
  </si>
  <si>
    <t>Westervoort</t>
  </si>
  <si>
    <t>Wijchen</t>
  </si>
  <si>
    <t>Winterswijk</t>
  </si>
  <si>
    <t>Zaltbommel</t>
  </si>
  <si>
    <t>Zevenaar</t>
  </si>
  <si>
    <t>Zutphen</t>
  </si>
  <si>
    <t>Amersfoort</t>
  </si>
  <si>
    <t>Baarn</t>
  </si>
  <si>
    <t>Bunnik</t>
  </si>
  <si>
    <t>Bunschoten</t>
  </si>
  <si>
    <t>De Bilt</t>
  </si>
  <si>
    <t>De Ronde Venen</t>
  </si>
  <si>
    <t>Eemnes</t>
  </si>
  <si>
    <t>Houten</t>
  </si>
  <si>
    <t>IJsselstein</t>
  </si>
  <si>
    <t>Leusden</t>
  </si>
  <si>
    <t>Lopik</t>
  </si>
  <si>
    <t>Montfoort</t>
  </si>
  <si>
    <t>Nieuwegein</t>
  </si>
  <si>
    <t>Oudewater</t>
  </si>
  <si>
    <t>Renswoude</t>
  </si>
  <si>
    <t>Rhenen</t>
  </si>
  <si>
    <t>Soest</t>
  </si>
  <si>
    <t>Stichtse Vecht</t>
  </si>
  <si>
    <t>Utrecht</t>
  </si>
  <si>
    <t>Utrechtse Heuvelrug</t>
  </si>
  <si>
    <t>Veenendaal</t>
  </si>
  <si>
    <t>Vijfheerenlanden</t>
  </si>
  <si>
    <t>Wijk bij Duurstede</t>
  </si>
  <si>
    <t>Woerden</t>
  </si>
  <si>
    <t>Woudenberg</t>
  </si>
  <si>
    <t>Zeist</t>
  </si>
  <si>
    <t>Aalsmeer</t>
  </si>
  <si>
    <t>Alkmaar</t>
  </si>
  <si>
    <t>Amstelveen</t>
  </si>
  <si>
    <t>Amsterdam</t>
  </si>
  <si>
    <t>Bergen (NH.)</t>
  </si>
  <si>
    <t>Beverwijk</t>
  </si>
  <si>
    <t>Blaricum</t>
  </si>
  <si>
    <t>Bloemendaal</t>
  </si>
  <si>
    <t>Castricum</t>
  </si>
  <si>
    <t>Den Helder</t>
  </si>
  <si>
    <t>Diemen</t>
  </si>
  <si>
    <t>Dijk en Waard</t>
  </si>
  <si>
    <t>Drechterland</t>
  </si>
  <si>
    <t>Edam-Volendam</t>
  </si>
  <si>
    <t>Enkhuizen</t>
  </si>
  <si>
    <t>Gooise Meren</t>
  </si>
  <si>
    <t>Haarlem</t>
  </si>
  <si>
    <t>Haarlemmermeer</t>
  </si>
  <si>
    <t>Heemskerk</t>
  </si>
  <si>
    <t>Heemstede</t>
  </si>
  <si>
    <t>Heiloo</t>
  </si>
  <si>
    <t>Hilversum</t>
  </si>
  <si>
    <t>Hollands Kroon</t>
  </si>
  <si>
    <t>Hoorn</t>
  </si>
  <si>
    <t>Huizen</t>
  </si>
  <si>
    <t>Koggenland</t>
  </si>
  <si>
    <t>Landsmeer</t>
  </si>
  <si>
    <t>Laren</t>
  </si>
  <si>
    <t>Medemblik</t>
  </si>
  <si>
    <t>Oostzaan</t>
  </si>
  <si>
    <t>Opmeer</t>
  </si>
  <si>
    <t>Ouder-Amstel</t>
  </si>
  <si>
    <t>Purmerend</t>
  </si>
  <si>
    <t>Schagen</t>
  </si>
  <si>
    <t>Stede Broec</t>
  </si>
  <si>
    <t>Texel</t>
  </si>
  <si>
    <t>Uitgeest</t>
  </si>
  <si>
    <t>Uithoorn</t>
  </si>
  <si>
    <t>Velsen</t>
  </si>
  <si>
    <t>Waterland</t>
  </si>
  <si>
    <t>Wijdemeren</t>
  </si>
  <si>
    <t>Wormerland</t>
  </si>
  <si>
    <t>Zaanstad</t>
  </si>
  <si>
    <t>Zandvoort</t>
  </si>
  <si>
    <t>Alblasserdam</t>
  </si>
  <si>
    <t>Albrandswaard</t>
  </si>
  <si>
    <t>Alphen aan den Rijn</t>
  </si>
  <si>
    <t>Barendrecht</t>
  </si>
  <si>
    <t>Bodegraven-Reeuwijk</t>
  </si>
  <si>
    <t>Capelle aan den IJssel</t>
  </si>
  <si>
    <t>Delft</t>
  </si>
  <si>
    <t>Dordrecht</t>
  </si>
  <si>
    <t>Goeree-Overflakkee</t>
  </si>
  <si>
    <t>Gorinchem</t>
  </si>
  <si>
    <t>Gouda</t>
  </si>
  <si>
    <t>Hardinxveld-Giessendam</t>
  </si>
  <si>
    <t>Hendrik-Ido-Ambacht</t>
  </si>
  <si>
    <t>Hillegom</t>
  </si>
  <si>
    <t>Hoeksche Waard</t>
  </si>
  <si>
    <t>Kaag en Braassem</t>
  </si>
  <si>
    <t>Katwijk</t>
  </si>
  <si>
    <t>Krimpen aan den IJssel</t>
  </si>
  <si>
    <t>Krimpenerwaard</t>
  </si>
  <si>
    <t>Lansingerland</t>
  </si>
  <si>
    <t>Leiden</t>
  </si>
  <si>
    <t>Leiderdorp</t>
  </si>
  <si>
    <t>Leidschendam-Voorburg</t>
  </si>
  <si>
    <t>Lisse</t>
  </si>
  <si>
    <t>Maassluis</t>
  </si>
  <si>
    <t>Midden-Delfland</t>
  </si>
  <si>
    <t>Molenlanden</t>
  </si>
  <si>
    <t>Nieuwkoop</t>
  </si>
  <si>
    <t>Nissewaard</t>
  </si>
  <si>
    <t>Noordwijk</t>
  </si>
  <si>
    <t>Oegstgeest</t>
  </si>
  <si>
    <t>Papendrecht</t>
  </si>
  <si>
    <t>Pijnacker-Nootdorp</t>
  </si>
  <si>
    <t>Ridderkerk</t>
  </si>
  <si>
    <t>Rijswijk</t>
  </si>
  <si>
    <t>Rotterdam</t>
  </si>
  <si>
    <t>Schiedam</t>
  </si>
  <si>
    <t>'s-Gravenhage</t>
  </si>
  <si>
    <t>Sliedrecht</t>
  </si>
  <si>
    <t>Teylingen</t>
  </si>
  <si>
    <t>Vlaardingen</t>
  </si>
  <si>
    <t>Voorne aan Zee</t>
  </si>
  <si>
    <t>Voorschoten</t>
  </si>
  <si>
    <t>Waddinxveen</t>
  </si>
  <si>
    <t>Wassenaar</t>
  </si>
  <si>
    <t>Westland</t>
  </si>
  <si>
    <t>Zoetermeer</t>
  </si>
  <si>
    <t>Zoeterwoude</t>
  </si>
  <si>
    <t>Zuidplas</t>
  </si>
  <si>
    <t>Zwijndrecht</t>
  </si>
  <si>
    <t>Borsele</t>
  </si>
  <si>
    <t>Goes</t>
  </si>
  <si>
    <t>Hulst</t>
  </si>
  <si>
    <t>Kapelle</t>
  </si>
  <si>
    <t>Middelburg</t>
  </si>
  <si>
    <t>Noord-Beveland</t>
  </si>
  <si>
    <t>Reimerswaal</t>
  </si>
  <si>
    <t>Schouwen-Duiveland</t>
  </si>
  <si>
    <t>Sluis</t>
  </si>
  <si>
    <t>Terneuzen</t>
  </si>
  <si>
    <t>Tholen</t>
  </si>
  <si>
    <t>Veere</t>
  </si>
  <si>
    <t>Vlissingen</t>
  </si>
  <si>
    <t>Alphen-Chaam</t>
  </si>
  <si>
    <t>Altena</t>
  </si>
  <si>
    <t>Asten</t>
  </si>
  <si>
    <t>Baarle-Nassau</t>
  </si>
  <si>
    <t>Bergeijk</t>
  </si>
  <si>
    <t>Bergen op Zoom</t>
  </si>
  <si>
    <t>Bernheze</t>
  </si>
  <si>
    <t>Best</t>
  </si>
  <si>
    <t>Bladel</t>
  </si>
  <si>
    <t>Boekel</t>
  </si>
  <si>
    <t>Boxtel</t>
  </si>
  <si>
    <t>Breda</t>
  </si>
  <si>
    <t>Cranendonck</t>
  </si>
  <si>
    <t>Deurne</t>
  </si>
  <si>
    <t>Dongen</t>
  </si>
  <si>
    <t>Drimmelen</t>
  </si>
  <si>
    <t>Eersel</t>
  </si>
  <si>
    <t>Eindhoven</t>
  </si>
  <si>
    <t>Etten-Leur</t>
  </si>
  <si>
    <t>Geertruidenberg</t>
  </si>
  <si>
    <t>Geldrop-Mierlo</t>
  </si>
  <si>
    <t>Gemert-Bakel</t>
  </si>
  <si>
    <t>Gilze en Rijen</t>
  </si>
  <si>
    <t>Goirle</t>
  </si>
  <si>
    <t>Halderberge</t>
  </si>
  <si>
    <t>Heeze-Leende</t>
  </si>
  <si>
    <t>Helmond</t>
  </si>
  <si>
    <t>Heusden</t>
  </si>
  <si>
    <t>Hilvarenbeek</t>
  </si>
  <si>
    <t>Laarbeek</t>
  </si>
  <si>
    <t>Land van Cuijk</t>
  </si>
  <si>
    <t>Loon op Zand</t>
  </si>
  <si>
    <t>Maashorst</t>
  </si>
  <si>
    <t>Meierijstad</t>
  </si>
  <si>
    <t>Moerdijk</t>
  </si>
  <si>
    <t>Nuenen, Gerwen en Nederwetten</t>
  </si>
  <si>
    <t>Oirschot</t>
  </si>
  <si>
    <t>Oisterwijk</t>
  </si>
  <si>
    <t>Oosterhout</t>
  </si>
  <si>
    <t>Oss</t>
  </si>
  <si>
    <t>Reusel-De Mierden</t>
  </si>
  <si>
    <t>Roosendaal</t>
  </si>
  <si>
    <t>Rucphen</t>
  </si>
  <si>
    <t>'s-Hertogenbosch</t>
  </si>
  <si>
    <t>Sint-Michielsgestel</t>
  </si>
  <si>
    <t>Someren</t>
  </si>
  <si>
    <t>Son en Breugel</t>
  </si>
  <si>
    <t>Steenbergen</t>
  </si>
  <si>
    <t>Tilburg</t>
  </si>
  <si>
    <t>Valkenswaard</t>
  </si>
  <si>
    <t>Veldhoven</t>
  </si>
  <si>
    <t>Vught</t>
  </si>
  <si>
    <t>Waalre</t>
  </si>
  <si>
    <t>Waalwijk</t>
  </si>
  <si>
    <t>Woensdrecht</t>
  </si>
  <si>
    <t>Zundert</t>
  </si>
  <si>
    <t>Beek</t>
  </si>
  <si>
    <t>Beekdaelen</t>
  </si>
  <si>
    <t>Beesel</t>
  </si>
  <si>
    <t>Bergen (L.)</t>
  </si>
  <si>
    <t>Brunssum</t>
  </si>
  <si>
    <t>Echt-Susteren</t>
  </si>
  <si>
    <t>Eijsden-Margraten</t>
  </si>
  <si>
    <t>Gennep</t>
  </si>
  <si>
    <t>Gulpen-Wittem</t>
  </si>
  <si>
    <t>Heerlen</t>
  </si>
  <si>
    <t>Horst aan de Maas</t>
  </si>
  <si>
    <t>Kerkrade</t>
  </si>
  <si>
    <t>Landgraaf</t>
  </si>
  <si>
    <t>Leudal</t>
  </si>
  <si>
    <t>Maasgouw</t>
  </si>
  <si>
    <t>Maastricht</t>
  </si>
  <si>
    <t>Meerssen</t>
  </si>
  <si>
    <t>Mook en Middelaar</t>
  </si>
  <si>
    <t>Nederweert</t>
  </si>
  <si>
    <t>Peel en Maas</t>
  </si>
  <si>
    <t>Roerdalen</t>
  </si>
  <si>
    <t>Roermond</t>
  </si>
  <si>
    <t>Simpelveld</t>
  </si>
  <si>
    <t>Sittard-Geleen</t>
  </si>
  <si>
    <t>Stein</t>
  </si>
  <si>
    <t>Vaals</t>
  </si>
  <si>
    <t>Valkenburg aan de Geul</t>
  </si>
  <si>
    <t>Venlo</t>
  </si>
  <si>
    <t>Venray</t>
  </si>
  <si>
    <t>Voerendaal</t>
  </si>
  <si>
    <t>Weert</t>
  </si>
  <si>
    <t>Almere</t>
  </si>
  <si>
    <t>Dronten</t>
  </si>
  <si>
    <t>Lelystad</t>
  </si>
  <si>
    <t>Noordoostpolder</t>
  </si>
  <si>
    <t>Urk</t>
  </si>
  <si>
    <t>Zeewolde</t>
  </si>
  <si>
    <t>Totaal</t>
  </si>
  <si>
    <t>Zakenpartner_betreft</t>
  </si>
  <si>
    <t>ZP_nr_b</t>
  </si>
  <si>
    <t>Gklasse</t>
  </si>
  <si>
    <t>inw_2023</t>
  </si>
  <si>
    <t>m</t>
  </si>
  <si>
    <t>Gem aandeel in budget</t>
  </si>
  <si>
    <t>Middelgroot</t>
  </si>
  <si>
    <t>Groot</t>
  </si>
  <si>
    <t>Klein</t>
  </si>
  <si>
    <t>Beek (L.)</t>
  </si>
  <si>
    <t>Groningen (gemeente)</t>
  </si>
  <si>
    <t>Hengelo (O.)</t>
  </si>
  <si>
    <t>Land van Cuijck</t>
  </si>
  <si>
    <t>Laren (NH.)</t>
  </si>
  <si>
    <t>Middelburg (Z.)</t>
  </si>
  <si>
    <t>Molenland</t>
  </si>
  <si>
    <t>Rijswijk (ZH.)</t>
  </si>
  <si>
    <t>'s-Gravenhage (gemeente)</t>
  </si>
  <si>
    <t>Stein (L.)</t>
  </si>
  <si>
    <t>Utrecht (gemeente)</t>
  </si>
  <si>
    <t>West-Betuwe</t>
  </si>
  <si>
    <t>x</t>
  </si>
  <si>
    <t>Gemeente</t>
  </si>
  <si>
    <t>overig</t>
  </si>
  <si>
    <t xml:space="preserve">Vermindering van zorgkosten voor huisarts p.p. p.j. </t>
  </si>
  <si>
    <t xml:space="preserve">Vermindering van zorgkosten voor fysiotherapie p.p. p.j. </t>
  </si>
  <si>
    <t>Vermindering van zorgkosten voor medisch-specialistische zorg p.p. p.j.</t>
  </si>
  <si>
    <t>Vermindering van kosten voor Wmo-maatwerkvoorzieningen p.p. p.j.</t>
  </si>
  <si>
    <t>Vermindering van zorgkosten voor maatschappelijk werk/welzijn p.p. p.j.</t>
  </si>
  <si>
    <t>Vermindering van kosten voor GGZ p.p. p.j.</t>
  </si>
  <si>
    <t>Vermindering van kosten voor verslavingszorg p.p. p.j.</t>
  </si>
  <si>
    <t>Afname kosten voor schulddienstverlening p.p.</t>
  </si>
  <si>
    <t>Vermindering van het gebruik van bijzondere bijstand en minimabeleid</t>
  </si>
  <si>
    <t>Besparing op kosten van misdrijven p.p.</t>
  </si>
  <si>
    <t>Besparing op kosten van overlastgevend gedrag p.p.</t>
  </si>
  <si>
    <t>Burdorf &amp; Schuring (2016). Incl. correctie voor inflatie.</t>
  </si>
  <si>
    <t>Burdorf &amp; Schuring (2016). Werk heeft licht opdrijvend effect op de zorgkosten.</t>
  </si>
  <si>
    <t>Winterwerp &amp; Heering (2018). Incl. correctie voor inflatie.</t>
  </si>
  <si>
    <t>Lager beroep a 9% op Wmo-maatwerkvoorzieningingen (Eijkel et al., 2020), Gemiddelde kosten a €4140 Wmo-maatwerkvoorziening (sociale activering) (Maatschappelijke prijslijst, 2014). Incl. correctie voor inflatie</t>
  </si>
  <si>
    <t>Lager beroep a 3,7% op schulddienstverlening (Eijkel et al., 2020), Gemiddelde kosten a €1656 voor schulddienstverlening (Maatschappelijke prijslijst, 2014). Incl. correctie voor inflatie.</t>
  </si>
  <si>
    <t>Beroep op bijzondere bijstand van mensen uit de bijstand a 25,92% (CBS dashboard stapeling, ultimo 2020), prijs bijzondere bijstand geschat op 2,5% van sociaal minimum (€16.900 p.j. sinds 1-7-2023 voor alleenstaande van 21+) (UWV, actuele bedragen)</t>
  </si>
  <si>
    <t>Voorkomen van misdrijven a 3,5%punt (Eijkel et al., 2020), kosten van een misdrijf a €3367 gemiddeld (Maatschappelijke prijslijst, 2014). Incl. correctie voor inflatie</t>
  </si>
  <si>
    <t>Gemeentelijk domein</t>
  </si>
  <si>
    <t>Rijk</t>
  </si>
  <si>
    <t>Maatschappij overig</t>
  </si>
  <si>
    <t>SO-bedrijf</t>
  </si>
  <si>
    <t>Andere gemeenten</t>
  </si>
  <si>
    <t>Plaatsing</t>
  </si>
  <si>
    <t>Zorg en veiligheid</t>
  </si>
  <si>
    <t>Kwaliteit van leven</t>
  </si>
  <si>
    <t>Totaal gemeenten</t>
  </si>
  <si>
    <t>1.1</t>
  </si>
  <si>
    <t>1.2</t>
  </si>
  <si>
    <t>1.3</t>
  </si>
  <si>
    <t>1.4</t>
  </si>
  <si>
    <t>1.</t>
  </si>
  <si>
    <t>2.</t>
  </si>
  <si>
    <t>3.1</t>
  </si>
  <si>
    <t>3.2</t>
  </si>
  <si>
    <t>3.3</t>
  </si>
  <si>
    <t>3.</t>
  </si>
  <si>
    <t>4.</t>
  </si>
  <si>
    <t>Overige NL-gemeenten</t>
  </si>
  <si>
    <t>Andere gem. afdelingen</t>
  </si>
  <si>
    <t>Andere partijen</t>
  </si>
  <si>
    <t>LKS-NBW</t>
  </si>
  <si>
    <t>Maatschappelijke kosten en baten van de inzet van LKS (een plus staat voor een baat, een min staat voor een last)</t>
  </si>
  <si>
    <t>a. verhogen kwaliteit van leven</t>
  </si>
  <si>
    <t>c. vermindering mantelzorg</t>
  </si>
  <si>
    <t>e. afbouwen schuldhulpverlening</t>
  </si>
  <si>
    <t>f. verminderen maatschappelijke kosten verslaving</t>
  </si>
  <si>
    <t>g. minder WMO-begeleiding nodig</t>
  </si>
  <si>
    <t>h. minder GGZ-begeleiding nodig</t>
  </si>
  <si>
    <t>i. voorkomen van overlast gevend gedrag</t>
  </si>
  <si>
    <t>Meicirculaire</t>
  </si>
  <si>
    <t>LP-bijstellingen begeleiding</t>
  </si>
  <si>
    <t>Winterwerp e/a</t>
  </si>
  <si>
    <t xml:space="preserve">- Huisarts </t>
  </si>
  <si>
    <t xml:space="preserve">- Fysiotherapeut </t>
  </si>
  <si>
    <t xml:space="preserve">- Maatschappelijk werker </t>
  </si>
  <si>
    <t xml:space="preserve">- Psycholoog </t>
  </si>
  <si>
    <t xml:space="preserve">- Medisch specialist </t>
  </si>
  <si>
    <t>Burdorf</t>
  </si>
  <si>
    <t>Vermindering mantelzorg</t>
  </si>
  <si>
    <t>Zorg</t>
  </si>
  <si>
    <t>Maatschappelijke ontwikkeling</t>
  </si>
  <si>
    <t>Gemiddelde externe bate bij één persoon extra aan het werk vanuit de uitkering</t>
  </si>
  <si>
    <t>Maatschapelijke ondersteuning</t>
  </si>
  <si>
    <t>Aanvullende financiële ondersteuning</t>
  </si>
  <si>
    <t>Uitgaven aan veiligheidszorg in 2015</t>
  </si>
  <si>
    <t>Maatschappelijke kosten van criminaliteit in 2015</t>
  </si>
  <si>
    <t>Totaal verdachten</t>
  </si>
  <si>
    <t>12 tot 18 jaar</t>
  </si>
  <si>
    <t>18 tot 25 jaar</t>
  </si>
  <si>
    <t>25 tot 45 jaar</t>
  </si>
  <si>
    <t>45 tot 65 jaar</t>
  </si>
  <si>
    <t>65 jaar of ouder</t>
  </si>
  <si>
    <t>Leeftijd onbekend</t>
  </si>
  <si>
    <t>verdachten kosten 18-65 jaar</t>
  </si>
  <si>
    <t>Totaal aantal personen 18-65 jaar</t>
  </si>
  <si>
    <t>% verdachte personen 18-65 jaar</t>
  </si>
  <si>
    <t>Kosten veiligheidszorg</t>
  </si>
  <si>
    <t>Maatschappelijke kosten criminaliteit</t>
  </si>
  <si>
    <t>Begeleidingsvergoeding</t>
  </si>
  <si>
    <t>Ontwikkelingskosten</t>
  </si>
  <si>
    <t>Inkomen van huishoudens; inkomensbestanddelen, huishoudenskenmerken</t>
  </si>
  <si>
    <t>Kenmerken van huishoudens</t>
  </si>
  <si>
    <t>Bron: Uitkering bijstand</t>
  </si>
  <si>
    <t>Onderwerp</t>
  </si>
  <si>
    <t>Gemiddeld inkomen</t>
  </si>
  <si>
    <t>Mediaan inkomen</t>
  </si>
  <si>
    <t>Perioden</t>
  </si>
  <si>
    <t>2022*</t>
  </si>
  <si>
    <t>Inkomensbestanddelen</t>
  </si>
  <si>
    <t>1 000 euro</t>
  </si>
  <si>
    <t>1 Inkomen als werknemer</t>
  </si>
  <si>
    <t>1.1 Loon uit dienstverband</t>
  </si>
  <si>
    <t>1.2 Loon in natura</t>
  </si>
  <si>
    <t>1.3 Sociale lasten van werkgever</t>
  </si>
  <si>
    <t>2 Inkomen als zelfstandige</t>
  </si>
  <si>
    <t>3 Inkomen uit vermogen</t>
  </si>
  <si>
    <t>4 PRIMAIR INKOMEN</t>
  </si>
  <si>
    <t>5 Uitkering inkomensverzekering</t>
  </si>
  <si>
    <t>6 Uitkering sociale voorziening</t>
  </si>
  <si>
    <t>6.1 Uitkering bijstand etc.</t>
  </si>
  <si>
    <t>6.1.1 Uitkering bijstand</t>
  </si>
  <si>
    <t>6.1.2 Uitkering, bijstandsgerelateerd</t>
  </si>
  <si>
    <t>6.2 Sociale lasten: bijstandsinstantie</t>
  </si>
  <si>
    <t>6.3 Uitkering wegens kinderen</t>
  </si>
  <si>
    <t>6.3.1 Kinderbijslag</t>
  </si>
  <si>
    <t>6.3.2 Kindgebonden budget</t>
  </si>
  <si>
    <t>6.4 Uitkering studietoelage</t>
  </si>
  <si>
    <t>7 Ontvangen gebonden overdrachten</t>
  </si>
  <si>
    <t>7.1 Huurtoeslag</t>
  </si>
  <si>
    <t>7.2 Overige gebonden overdrachten</t>
  </si>
  <si>
    <t>8 Overdracht ontvangen van huishouden</t>
  </si>
  <si>
    <t>9 BRUTO-INKOMEN</t>
  </si>
  <si>
    <t>10 Overdracht betaald aan huishouden</t>
  </si>
  <si>
    <t>11 Premie inkomensverzekering</t>
  </si>
  <si>
    <t>12 Premie ziektekostenverzekering</t>
  </si>
  <si>
    <t>13 Belasting op inkomen</t>
  </si>
  <si>
    <t>14 BESTEEDBAAR INKOMEN</t>
  </si>
  <si>
    <t>Bron: CBS</t>
  </si>
  <si>
    <t>Gestandaardiseerd inkomen: 3e 10%-groep</t>
  </si>
  <si>
    <t>Particuliere huishoudens</t>
  </si>
  <si>
    <t>Totaal inkomen</t>
  </si>
  <si>
    <t>x 1 000</t>
  </si>
  <si>
    <t>mln euro</t>
  </si>
  <si>
    <t>Bruto inkomen</t>
  </si>
  <si>
    <t>Kinderbijslag</t>
  </si>
  <si>
    <t>Kindertoeslag</t>
  </si>
  <si>
    <t>Huurtoeslag</t>
  </si>
  <si>
    <t>Premie inkomensverzekering</t>
  </si>
  <si>
    <t>Premie ziektekostenverzekering</t>
  </si>
  <si>
    <t>Belasting op inkomen</t>
  </si>
  <si>
    <t>Netto inkomen</t>
  </si>
  <si>
    <t>begeleidingsvergoeding</t>
  </si>
  <si>
    <t>ontwikkeling</t>
  </si>
  <si>
    <t>TOTAAL MAATSCHAPPELIJKE KOSTEN EN BATEN</t>
  </si>
  <si>
    <t>LKS-BIJ</t>
  </si>
  <si>
    <t>Loonwaarde</t>
  </si>
  <si>
    <t>Salariskosten</t>
  </si>
  <si>
    <t>Opbrengsten uit werk</t>
  </si>
  <si>
    <t>Kosten bedrijfsvoering</t>
  </si>
  <si>
    <t>Financieel resultaat</t>
  </si>
  <si>
    <t>Netto toegevoegde waarde</t>
  </si>
  <si>
    <t>Bruto loonkosten</t>
  </si>
  <si>
    <t>financieel resultaat doelgroep LKS in prijzen 2022</t>
  </si>
  <si>
    <t>Bruto salariskosten</t>
  </si>
  <si>
    <t>financieel resultaat doelgroep LKS in prijzen 2022 (met salaris ipv loonkosten)</t>
  </si>
  <si>
    <t>Subsidieresultaat</t>
  </si>
  <si>
    <t>Lonen en prijzen 2022</t>
  </si>
  <si>
    <t>Lonen en prijzen 2023</t>
  </si>
  <si>
    <t>Effect op Cluster Participatie AU/GF</t>
  </si>
  <si>
    <t>Bijstandsuitkering</t>
  </si>
  <si>
    <t>Werkgerelateerde kosten</t>
  </si>
  <si>
    <t>CBS Statline</t>
  </si>
  <si>
    <t>index</t>
  </si>
  <si>
    <t>consumenten-inflatie</t>
  </si>
  <si>
    <t>1+consumenteninflatie</t>
  </si>
  <si>
    <t>financieel resultaat doelgroep LKS in prijzen 2023</t>
  </si>
  <si>
    <t>WML per maand 2022</t>
  </si>
  <si>
    <t>WML per maand 2023</t>
  </si>
  <si>
    <t>Inflatie 2023</t>
  </si>
  <si>
    <t>Totaal privaat</t>
  </si>
  <si>
    <t xml:space="preserve">Economische kosten en baten: </t>
  </si>
  <si>
    <t xml:space="preserve">Publieke middelen W&amp;I: </t>
  </si>
  <si>
    <t xml:space="preserve">Externe kosten en baten: </t>
  </si>
  <si>
    <t>Kosten- en batensoorten</t>
  </si>
  <si>
    <t>Bedrag per eenheid</t>
  </si>
  <si>
    <t>Kenmerken van huishoudens: Gestandaardiseerd inkomen: 2e 10%-groep</t>
  </si>
  <si>
    <t>.</t>
  </si>
  <si>
    <t>Kenmerken van huishoudens: Bron: Uitkering bijstand</t>
  </si>
  <si>
    <t>5.1 Uitkering bij werkloosheid</t>
  </si>
  <si>
    <t>5.2 Uitkering bij ziekte</t>
  </si>
  <si>
    <t>5.3 Uitkering bij arbeidsongeschiktheid</t>
  </si>
  <si>
    <t>5.3.1 Uitk. arb.ong.: sociale verz.</t>
  </si>
  <si>
    <t>5.3.2 Uitk. arb.ong.: partic. verz.</t>
  </si>
  <si>
    <t>5.4 Uitkering bij (nabestaanden)pensioen</t>
  </si>
  <si>
    <t>5.4.1 Uitk. pensioen: volksverz. (AOW)</t>
  </si>
  <si>
    <t>5.4.2 Uitk. pensioen: volksverz. (Anw)</t>
  </si>
  <si>
    <t>5.4.3 Uitk. pensioen: overig</t>
  </si>
  <si>
    <t>5.5  Sociale lasten: uitkeringsinstantie</t>
  </si>
  <si>
    <t>11.1 Premie wegens werkloosheid</t>
  </si>
  <si>
    <t>11.1.1 Premie werkl.: sociale verz.</t>
  </si>
  <si>
    <t>11.1.1.2 Premie werkl.: werkgever</t>
  </si>
  <si>
    <t>11.1.1.4 Premie werkl.: uitk.instantie</t>
  </si>
  <si>
    <t>11.2 Premie wegens ziekte</t>
  </si>
  <si>
    <t>11.3 Premie wegens arbeidsongeschiktheid</t>
  </si>
  <si>
    <t>11.3.1 Premie arb.ong.: sociale verz.</t>
  </si>
  <si>
    <t>11.3.1.2 Premie arb.ong.: werkgever</t>
  </si>
  <si>
    <t>11.3.1.4 Premie arb.ong.: uitk.instantie</t>
  </si>
  <si>
    <t>11.3.1.5 Premie arb.ong.: bovenwettelijk</t>
  </si>
  <si>
    <t>11.3.2 Premie arb.ong.: partic. verz.</t>
  </si>
  <si>
    <t>11.4 Premie wegens pensioen</t>
  </si>
  <si>
    <t>11.4.1 Premie pensioen: sociale verz.</t>
  </si>
  <si>
    <t>11.4.1.1 Premie pensioen: werknemer</t>
  </si>
  <si>
    <t>11.4.1.2 Premie pensioen: werkgever</t>
  </si>
  <si>
    <t>11.4.2 Premie pensioen: partic. verz.</t>
  </si>
  <si>
    <t>11.4.3 Premie pensioen: volksverz.</t>
  </si>
  <si>
    <t>12.1 Premie ziektkn.: sociale verz.</t>
  </si>
  <si>
    <t>12.1.1 Premie ziektekn.: werknemer</t>
  </si>
  <si>
    <t>12.1.2 Premie ziektekn.: werkgever</t>
  </si>
  <si>
    <t>12.1.3 Premie ziektekn.: uitk. ontv.</t>
  </si>
  <si>
    <t>12.1.4 Premie ziektekn.: uitk. inst.</t>
  </si>
  <si>
    <t>12.1.5 Premie ziektekn.: over ov. ink.</t>
  </si>
  <si>
    <t>12.1.6 Premie ziektekn.: tlv huishouden</t>
  </si>
  <si>
    <t>12.1.6.1 Premie ziektekn.: nominaal</t>
  </si>
  <si>
    <t>12.1.6.2 Zorgtoeslag (-)</t>
  </si>
  <si>
    <t>12.3 Premie ziektekn.: volksverz.</t>
  </si>
  <si>
    <t>Kenmerken van huishoudens: Gestandaardiseerd inkomen: 3e 10%-groep</t>
  </si>
  <si>
    <t>Bijstand</t>
  </si>
  <si>
    <t xml:space="preserve">Input: </t>
  </si>
  <si>
    <t>-</t>
  </si>
  <si>
    <t>TOT. MKB (1)+(2)+(3)</t>
  </si>
  <si>
    <t>Gem. afd. W&amp;I</t>
  </si>
  <si>
    <t xml:space="preserve">effect: </t>
  </si>
  <si>
    <t>Economisch</t>
  </si>
  <si>
    <t xml:space="preserve">Publ.midd.  </t>
  </si>
  <si>
    <t xml:space="preserve">W&amp;I: </t>
  </si>
  <si>
    <t>Externe</t>
  </si>
  <si>
    <t xml:space="preserve">effecten: </t>
  </si>
  <si>
    <t xml:space="preserve">Basisvariabelen: </t>
  </si>
  <si>
    <t>Effect op BUIG-budget*</t>
  </si>
  <si>
    <t>Totaal maatsch. Kosten en baten</t>
  </si>
  <si>
    <t xml:space="preserve">Economische kosten en baten </t>
  </si>
  <si>
    <t xml:space="preserve">Publieke middelen W&amp;I </t>
  </si>
  <si>
    <t xml:space="preserve">Externe kosten en baten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</si>
</sst>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164" formatCode="&quot;€&quot;\ #,##0"/>
    <numFmt numFmtId="165" formatCode="0.0%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Segoe U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Segoe UI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/>
    <xf numFmtId="164" fontId="1" fillId="2" borderId="0" xfId="0" applyNumberFormat="1" applyFont="1" applyFill="1"/>
    <xf numFmtId="164" fontId="0" fillId="0" borderId="0" xfId="0" applyNumberFormat="1"/>
    <xf numFmtId="0" fontId="2" fillId="0" borderId="0" xfId="0" applyFont="1"/>
    <xf numFmtId="0" fontId="3" fillId="0" borderId="3" xfId="0" applyFont="1" applyBorder="1"/>
    <xf numFmtId="0" fontId="2" fillId="0" borderId="3" xfId="0" applyFont="1" applyBorder="1"/>
    <xf numFmtId="164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Protection="1">
      <protection locked="0"/>
    </xf>
    <xf numFmtId="164" fontId="2" fillId="3" borderId="1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textRotation="180" wrapText="1"/>
    </xf>
    <xf numFmtId="0" fontId="2" fillId="0" borderId="0" xfId="0" applyFont="1" applyAlignment="1">
      <alignment horizontal="center" vertical="center" textRotation="180" wrapText="1"/>
    </xf>
    <xf numFmtId="0" fontId="2" fillId="5" borderId="1" xfId="0" applyFont="1" applyFill="1" applyBorder="1"/>
    <xf numFmtId="164" fontId="2" fillId="5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2" fillId="7" borderId="1" xfId="0" applyFont="1" applyFill="1" applyBorder="1"/>
    <xf numFmtId="164" fontId="2" fillId="8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9" borderId="1" xfId="0" applyFont="1" applyFill="1" applyBorder="1"/>
    <xf numFmtId="164" fontId="2" fillId="10" borderId="1" xfId="0" applyNumberFormat="1" applyFont="1" applyFill="1" applyBorder="1" applyAlignment="1">
      <alignment horizontal="center"/>
    </xf>
    <xf numFmtId="164" fontId="2" fillId="9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164" fontId="2" fillId="11" borderId="1" xfId="0" applyNumberFormat="1" applyFont="1" applyFill="1" applyBorder="1" applyAlignment="1">
      <alignment horizontal="center"/>
    </xf>
    <xf numFmtId="0" fontId="5" fillId="12" borderId="1" xfId="0" applyFont="1" applyFill="1" applyBorder="1"/>
    <xf numFmtId="164" fontId="5" fillId="12" borderId="1" xfId="0" applyNumberFormat="1" applyFont="1" applyFill="1" applyBorder="1" applyAlignment="1">
      <alignment horizontal="center"/>
    </xf>
    <xf numFmtId="164" fontId="5" fillId="13" borderId="1" xfId="0" applyNumberFormat="1" applyFont="1" applyFill="1" applyBorder="1" applyAlignment="1">
      <alignment horizontal="center"/>
    </xf>
    <xf numFmtId="164" fontId="5" fillId="13" borderId="1" xfId="0" quotePrefix="1" applyNumberFormat="1" applyFont="1" applyFill="1" applyBorder="1" applyAlignment="1">
      <alignment horizontal="center"/>
    </xf>
    <xf numFmtId="0" fontId="2" fillId="12" borderId="1" xfId="0" applyFont="1" applyFill="1" applyBorder="1"/>
    <xf numFmtId="164" fontId="2" fillId="12" borderId="1" xfId="0" applyNumberFormat="1" applyFont="1" applyFill="1" applyBorder="1" applyAlignment="1">
      <alignment horizontal="center"/>
    </xf>
    <xf numFmtId="164" fontId="2" fillId="1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14" borderId="1" xfId="0" applyNumberFormat="1" applyFont="1" applyFill="1" applyBorder="1" applyAlignment="1">
      <alignment horizontal="center"/>
    </xf>
    <xf numFmtId="0" fontId="0" fillId="5" borderId="0" xfId="0" applyFill="1"/>
    <xf numFmtId="0" fontId="0" fillId="15" borderId="0" xfId="0" applyFill="1"/>
    <xf numFmtId="0" fontId="0" fillId="9" borderId="0" xfId="0" applyFill="1"/>
    <xf numFmtId="0" fontId="0" fillId="12" borderId="0" xfId="0" applyFill="1"/>
    <xf numFmtId="0" fontId="3" fillId="0" borderId="6" xfId="0" applyFont="1" applyBorder="1" applyAlignment="1">
      <alignment horizontal="center" vertical="center" textRotation="180" wrapText="1"/>
    </xf>
    <xf numFmtId="164" fontId="2" fillId="5" borderId="7" xfId="0" applyNumberFormat="1" applyFont="1" applyFill="1" applyBorder="1"/>
    <xf numFmtId="164" fontId="2" fillId="0" borderId="8" xfId="0" applyNumberFormat="1" applyFont="1" applyBorder="1"/>
    <xf numFmtId="164" fontId="2" fillId="7" borderId="7" xfId="0" applyNumberFormat="1" applyFont="1" applyFill="1" applyBorder="1"/>
    <xf numFmtId="164" fontId="2" fillId="9" borderId="7" xfId="0" applyNumberFormat="1" applyFont="1" applyFill="1" applyBorder="1"/>
    <xf numFmtId="164" fontId="2" fillId="4" borderId="7" xfId="0" applyNumberFormat="1" applyFont="1" applyFill="1" applyBorder="1"/>
    <xf numFmtId="164" fontId="2" fillId="12" borderId="7" xfId="0" applyNumberFormat="1" applyFont="1" applyFill="1" applyBorder="1"/>
    <xf numFmtId="164" fontId="2" fillId="3" borderId="7" xfId="0" applyNumberFormat="1" applyFont="1" applyFill="1" applyBorder="1"/>
    <xf numFmtId="0" fontId="0" fillId="0" borderId="8" xfId="0" applyBorder="1"/>
    <xf numFmtId="164" fontId="2" fillId="4" borderId="9" xfId="0" applyNumberFormat="1" applyFont="1" applyFill="1" applyBorder="1" applyAlignment="1">
      <alignment horizontal="right"/>
    </xf>
    <xf numFmtId="0" fontId="3" fillId="4" borderId="1" xfId="0" applyFont="1" applyFill="1" applyBorder="1"/>
    <xf numFmtId="0" fontId="0" fillId="2" borderId="0" xfId="0" applyFill="1"/>
    <xf numFmtId="164" fontId="5" fillId="0" borderId="0" xfId="0" quotePrefix="1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/>
    <xf numFmtId="164" fontId="3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3" xfId="0" applyFont="1" applyBorder="1"/>
    <xf numFmtId="3" fontId="0" fillId="0" borderId="0" xfId="0" applyNumberFormat="1"/>
    <xf numFmtId="8" fontId="0" fillId="0" borderId="0" xfId="0" applyNumberFormat="1"/>
    <xf numFmtId="0" fontId="1" fillId="2" borderId="0" xfId="0" applyFont="1" applyFill="1"/>
    <xf numFmtId="0" fontId="3" fillId="0" borderId="0" xfId="0" applyFont="1" applyAlignment="1">
      <alignment horizontal="right"/>
    </xf>
    <xf numFmtId="0" fontId="1" fillId="0" borderId="12" xfId="0" applyFont="1" applyBorder="1"/>
    <xf numFmtId="164" fontId="1" fillId="0" borderId="13" xfId="0" applyNumberFormat="1" applyFont="1" applyBorder="1"/>
    <xf numFmtId="164" fontId="0" fillId="0" borderId="13" xfId="0" applyNumberFormat="1" applyBorder="1"/>
    <xf numFmtId="0" fontId="6" fillId="5" borderId="10" xfId="0" applyFont="1" applyFill="1" applyBorder="1"/>
    <xf numFmtId="0" fontId="6" fillId="5" borderId="11" xfId="0" applyFont="1" applyFill="1" applyBorder="1"/>
    <xf numFmtId="0" fontId="9" fillId="5" borderId="10" xfId="0" applyFont="1" applyFill="1" applyBorder="1"/>
    <xf numFmtId="0" fontId="9" fillId="0" borderId="14" xfId="0" applyFont="1" applyBorder="1"/>
    <xf numFmtId="164" fontId="6" fillId="0" borderId="15" xfId="0" applyNumberFormat="1" applyFont="1" applyBorder="1"/>
    <xf numFmtId="0" fontId="9" fillId="5" borderId="16" xfId="0" applyFont="1" applyFill="1" applyBorder="1"/>
    <xf numFmtId="164" fontId="6" fillId="5" borderId="4" xfId="0" applyNumberFormat="1" applyFont="1" applyFill="1" applyBorder="1"/>
    <xf numFmtId="165" fontId="0" fillId="0" borderId="0" xfId="0" applyNumberFormat="1"/>
    <xf numFmtId="166" fontId="0" fillId="0" borderId="0" xfId="0" applyNumberFormat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20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0" fontId="0" fillId="0" borderId="16" xfId="0" applyBorder="1"/>
    <xf numFmtId="164" fontId="0" fillId="0" borderId="19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17" xfId="0" applyBorder="1"/>
    <xf numFmtId="0" fontId="0" fillId="0" borderId="5" xfId="0" applyBorder="1"/>
    <xf numFmtId="0" fontId="6" fillId="0" borderId="1" xfId="0" applyFont="1" applyBorder="1"/>
    <xf numFmtId="0" fontId="6" fillId="0" borderId="0" xfId="0" applyFont="1" applyAlignment="1">
      <alignment horizontal="right"/>
    </xf>
    <xf numFmtId="0" fontId="11" fillId="0" borderId="18" xfId="0" applyFont="1" applyBorder="1"/>
    <xf numFmtId="0" fontId="11" fillId="0" borderId="0" xfId="0" applyFont="1" applyAlignment="1">
      <alignment horizontal="right"/>
    </xf>
    <xf numFmtId="0" fontId="11" fillId="0" borderId="0" xfId="0" applyFont="1"/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11" fillId="0" borderId="14" xfId="0" applyNumberFormat="1" applyFont="1" applyBorder="1" applyAlignment="1">
      <alignment horizontal="center"/>
    </xf>
    <xf numFmtId="164" fontId="11" fillId="0" borderId="15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11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0" fillId="0" borderId="0" xfId="0" applyNumberFormat="1" applyAlignment="1">
      <alignment horizontal="right"/>
    </xf>
    <xf numFmtId="9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10" fontId="2" fillId="0" borderId="0" xfId="0" applyNumberFormat="1" applyFont="1"/>
    <xf numFmtId="0" fontId="0" fillId="17" borderId="0" xfId="0" applyFill="1"/>
    <xf numFmtId="0" fontId="3" fillId="0" borderId="0" xfId="0" applyFont="1" applyAlignment="1">
      <alignment horizontal="center" wrapText="1"/>
    </xf>
    <xf numFmtId="0" fontId="3" fillId="0" borderId="0" xfId="0" applyFont="1" applyProtection="1">
      <protection locked="0"/>
    </xf>
    <xf numFmtId="164" fontId="3" fillId="0" borderId="0" xfId="0" applyNumberFormat="1" applyFont="1"/>
    <xf numFmtId="0" fontId="2" fillId="0" borderId="0" xfId="0" quotePrefix="1" applyFont="1"/>
    <xf numFmtId="0" fontId="2" fillId="0" borderId="0" xfId="0" applyFont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2" fillId="3" borderId="2" xfId="0" applyFont="1" applyFill="1" applyBorder="1" applyProtection="1">
      <protection locked="0" hidden="1"/>
    </xf>
    <xf numFmtId="0" fontId="2" fillId="3" borderId="1" xfId="0" applyFont="1" applyFill="1" applyBorder="1" applyProtection="1">
      <protection locked="0" hidden="1"/>
    </xf>
    <xf numFmtId="3" fontId="2" fillId="3" borderId="1" xfId="0" applyNumberFormat="1" applyFont="1" applyFill="1" applyBorder="1" applyProtection="1">
      <protection locked="0" hidden="1"/>
    </xf>
    <xf numFmtId="3" fontId="3" fillId="0" borderId="3" xfId="0" applyNumberFormat="1" applyFont="1" applyBorder="1" applyProtection="1">
      <protection locked="0" hidden="1"/>
    </xf>
    <xf numFmtId="0" fontId="2" fillId="3" borderId="18" xfId="0" applyFont="1" applyFill="1" applyBorder="1" applyProtection="1">
      <protection locked="0" hidden="1"/>
    </xf>
    <xf numFmtId="9" fontId="2" fillId="3" borderId="1" xfId="0" applyNumberFormat="1" applyFont="1" applyFill="1" applyBorder="1" applyProtection="1">
      <protection locked="0" hidden="1"/>
    </xf>
    <xf numFmtId="164" fontId="3" fillId="4" borderId="1" xfId="0" applyNumberFormat="1" applyFont="1" applyFill="1" applyBorder="1" applyAlignment="1" applyProtection="1">
      <alignment horizontal="right"/>
      <protection hidden="1"/>
    </xf>
    <xf numFmtId="164" fontId="2" fillId="0" borderId="0" xfId="0" applyNumberFormat="1" applyFont="1" applyAlignment="1" applyProtection="1">
      <alignment horizontal="right"/>
      <protection hidden="1"/>
    </xf>
    <xf numFmtId="164" fontId="2" fillId="0" borderId="1" xfId="0" applyNumberFormat="1" applyFont="1" applyBorder="1" applyAlignment="1" applyProtection="1">
      <alignment horizontal="right"/>
      <protection hidden="1"/>
    </xf>
    <xf numFmtId="164" fontId="3" fillId="4" borderId="17" xfId="0" applyNumberFormat="1" applyFont="1" applyFill="1" applyBorder="1" applyAlignment="1" applyProtection="1">
      <alignment horizontal="right"/>
      <protection hidden="1"/>
    </xf>
    <xf numFmtId="164" fontId="2" fillId="0" borderId="17" xfId="0" applyNumberFormat="1" applyFont="1" applyBorder="1" applyAlignment="1" applyProtection="1">
      <alignment horizontal="right"/>
      <protection hidden="1"/>
    </xf>
    <xf numFmtId="164" fontId="3" fillId="0" borderId="19" xfId="0" applyNumberFormat="1" applyFont="1" applyBorder="1" applyAlignment="1" applyProtection="1">
      <alignment horizontal="right"/>
      <protection hidden="1"/>
    </xf>
    <xf numFmtId="164" fontId="3" fillId="0" borderId="0" xfId="0" applyNumberFormat="1" applyFont="1" applyAlignment="1" applyProtection="1">
      <alignment horizontal="right"/>
      <protection hidden="1"/>
    </xf>
    <xf numFmtId="164" fontId="3" fillId="4" borderId="18" xfId="0" applyNumberFormat="1" applyFont="1" applyFill="1" applyBorder="1" applyAlignment="1" applyProtection="1">
      <alignment horizontal="right"/>
      <protection hidden="1"/>
    </xf>
    <xf numFmtId="164" fontId="2" fillId="0" borderId="18" xfId="0" applyNumberFormat="1" applyFont="1" applyBorder="1" applyAlignment="1" applyProtection="1">
      <alignment horizontal="right"/>
      <protection hidden="1"/>
    </xf>
    <xf numFmtId="164" fontId="3" fillId="16" borderId="1" xfId="0" applyNumberFormat="1" applyFont="1" applyFill="1" applyBorder="1" applyAlignment="1" applyProtection="1">
      <alignment horizontal="right"/>
      <protection hidden="1"/>
    </xf>
    <xf numFmtId="164" fontId="3" fillId="16" borderId="17" xfId="0" applyNumberFormat="1" applyFont="1" applyFill="1" applyBorder="1" applyAlignment="1" applyProtection="1">
      <alignment horizontal="right"/>
      <protection hidden="1"/>
    </xf>
    <xf numFmtId="164" fontId="3" fillId="16" borderId="18" xfId="0" applyNumberFormat="1" applyFont="1" applyFill="1" applyBorder="1" applyAlignment="1" applyProtection="1">
      <alignment horizontal="right"/>
      <protection hidden="1"/>
    </xf>
    <xf numFmtId="0" fontId="2" fillId="0" borderId="18" xfId="0" applyFont="1" applyBorder="1" applyAlignment="1" applyProtection="1">
      <alignment horizontal="right"/>
      <protection hidden="1"/>
    </xf>
    <xf numFmtId="0" fontId="2" fillId="0" borderId="1" xfId="0" applyFont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right"/>
      <protection hidden="1"/>
    </xf>
    <xf numFmtId="164" fontId="3" fillId="0" borderId="5" xfId="0" applyNumberFormat="1" applyFont="1" applyBorder="1" applyAlignment="1" applyProtection="1">
      <alignment horizontal="right"/>
      <protection hidden="1"/>
    </xf>
    <xf numFmtId="164" fontId="3" fillId="2" borderId="4" xfId="0" applyNumberFormat="1" applyFont="1" applyFill="1" applyBorder="1" applyAlignment="1" applyProtection="1">
      <alignment horizontal="right"/>
      <protection hidden="1"/>
    </xf>
    <xf numFmtId="164" fontId="2" fillId="0" borderId="18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0" fillId="0" borderId="3" xfId="0" applyBorder="1"/>
    <xf numFmtId="164" fontId="2" fillId="0" borderId="1" xfId="0" applyNumberFormat="1" applyFont="1" applyBorder="1" applyAlignment="1">
      <alignment horizontal="right"/>
    </xf>
    <xf numFmtId="164" fontId="2" fillId="0" borderId="18" xfId="0" applyNumberFormat="1" applyFont="1" applyBorder="1" applyAlignment="1">
      <alignment horizontal="right"/>
    </xf>
    <xf numFmtId="164" fontId="3" fillId="4" borderId="1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5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164" fontId="14" fillId="0" borderId="0" xfId="0" applyNumberFormat="1" applyFont="1" applyAlignment="1" applyProtection="1">
      <alignment horizontal="right"/>
      <protection locked="0" hidden="1"/>
    </xf>
    <xf numFmtId="164" fontId="14" fillId="0" borderId="0" xfId="0" applyNumberFormat="1" applyFont="1" applyAlignment="1" applyProtection="1">
      <alignment horizontal="right"/>
      <protection hidden="1"/>
    </xf>
    <xf numFmtId="164" fontId="14" fillId="0" borderId="0" xfId="0" quotePrefix="1" applyNumberFormat="1" applyFont="1" applyAlignment="1" applyProtection="1">
      <alignment horizontal="right"/>
      <protection hidden="1"/>
    </xf>
    <xf numFmtId="164" fontId="15" fillId="0" borderId="0" xfId="0" applyNumberFormat="1" applyFont="1" applyAlignment="1" applyProtection="1">
      <alignment horizontal="right"/>
      <protection locked="0" hidden="1"/>
    </xf>
    <xf numFmtId="164" fontId="15" fillId="0" borderId="0" xfId="0" quotePrefix="1" applyNumberFormat="1" applyFont="1" applyAlignment="1" applyProtection="1">
      <alignment horizontal="right"/>
      <protection locked="0" hidden="1"/>
    </xf>
    <xf numFmtId="164" fontId="14" fillId="0" borderId="0" xfId="0" applyNumberFormat="1" applyFont="1" applyProtection="1">
      <protection locked="0" hidden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Blad3!$A$3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Blad3!$B$2:$ME$2</c:f>
              <c:numCache>
                <c:formatCode>General</c:formatCode>
                <c:ptCount val="3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</c:numCache>
            </c:numRef>
          </c:cat>
          <c:val>
            <c:numRef>
              <c:f>Blad3!$B$3:$ME$3</c:f>
              <c:numCache>
                <c:formatCode>General</c:formatCode>
                <c:ptCount val="342"/>
                <c:pt idx="0">
                  <c:v>8.6997672491939682E-4</c:v>
                </c:pt>
                <c:pt idx="1">
                  <c:v>1.0883920837635452E-3</c:v>
                </c:pt>
                <c:pt idx="2">
                  <c:v>1.1214087515574178E-3</c:v>
                </c:pt>
                <c:pt idx="3">
                  <c:v>1.1759003321577532E-3</c:v>
                </c:pt>
                <c:pt idx="4">
                  <c:v>1.195839792390907E-3</c:v>
                </c:pt>
                <c:pt idx="5">
                  <c:v>1.2006667039069496E-3</c:v>
                </c:pt>
                <c:pt idx="6">
                  <c:v>1.20107507656253E-3</c:v>
                </c:pt>
                <c:pt idx="7">
                  <c:v>1.2456223150125734E-3</c:v>
                </c:pt>
                <c:pt idx="8">
                  <c:v>1.2966103743097257E-3</c:v>
                </c:pt>
                <c:pt idx="9">
                  <c:v>1.2989988194378466E-3</c:v>
                </c:pt>
                <c:pt idx="10">
                  <c:v>1.3090722616279082E-3</c:v>
                </c:pt>
                <c:pt idx="11">
                  <c:v>1.3234593887069268E-3</c:v>
                </c:pt>
                <c:pt idx="12">
                  <c:v>1.3723337543705139E-3</c:v>
                </c:pt>
                <c:pt idx="13">
                  <c:v>1.3803783574511952E-3</c:v>
                </c:pt>
                <c:pt idx="14">
                  <c:v>1.392144074724766E-3</c:v>
                </c:pt>
                <c:pt idx="15">
                  <c:v>1.4005022027024916E-3</c:v>
                </c:pt>
                <c:pt idx="16">
                  <c:v>1.4270153188697954E-3</c:v>
                </c:pt>
                <c:pt idx="17">
                  <c:v>1.437869290206728E-3</c:v>
                </c:pt>
                <c:pt idx="18">
                  <c:v>1.4481737374224535E-3</c:v>
                </c:pt>
                <c:pt idx="19">
                  <c:v>1.4510651141310671E-3</c:v>
                </c:pt>
                <c:pt idx="20">
                  <c:v>1.454462450786731E-3</c:v>
                </c:pt>
                <c:pt idx="21">
                  <c:v>1.4632515259095369E-3</c:v>
                </c:pt>
                <c:pt idx="22">
                  <c:v>1.4769670475708319E-3</c:v>
                </c:pt>
                <c:pt idx="23">
                  <c:v>1.5230840910794852E-3</c:v>
                </c:pt>
                <c:pt idx="24">
                  <c:v>1.5423191110633949E-3</c:v>
                </c:pt>
                <c:pt idx="25">
                  <c:v>1.5601968048534198E-3</c:v>
                </c:pt>
                <c:pt idx="26">
                  <c:v>1.5671792381688476E-3</c:v>
                </c:pt>
                <c:pt idx="27">
                  <c:v>1.6006290166378223E-3</c:v>
                </c:pt>
                <c:pt idx="28">
                  <c:v>1.6550753429205312E-3</c:v>
                </c:pt>
                <c:pt idx="29">
                  <c:v>1.6942898226385283E-3</c:v>
                </c:pt>
                <c:pt idx="30">
                  <c:v>1.7066864795817205E-3</c:v>
                </c:pt>
                <c:pt idx="31">
                  <c:v>1.7680817711539509E-3</c:v>
                </c:pt>
                <c:pt idx="32">
                  <c:v>1.7848645415349251E-3</c:v>
                </c:pt>
                <c:pt idx="33">
                  <c:v>1.7873691847736239E-3</c:v>
                </c:pt>
                <c:pt idx="34">
                  <c:v>1.827698176584347E-3</c:v>
                </c:pt>
                <c:pt idx="35">
                  <c:v>1.8300918741165351E-3</c:v>
                </c:pt>
                <c:pt idx="36">
                  <c:v>1.870219921946914E-3</c:v>
                </c:pt>
                <c:pt idx="37">
                  <c:v>1.8884781210535273E-3</c:v>
                </c:pt>
                <c:pt idx="38">
                  <c:v>1.9538758212573892E-3</c:v>
                </c:pt>
                <c:pt idx="39">
                  <c:v>2.0108704931895982E-3</c:v>
                </c:pt>
                <c:pt idx="40">
                  <c:v>2.0156321788590281E-3</c:v>
                </c:pt>
                <c:pt idx="41">
                  <c:v>2.060964484026262E-3</c:v>
                </c:pt>
                <c:pt idx="42">
                  <c:v>2.0643108926308162E-3</c:v>
                </c:pt>
                <c:pt idx="43">
                  <c:v>2.0914324731242662E-3</c:v>
                </c:pt>
                <c:pt idx="44">
                  <c:v>2.1072827389199134E-3</c:v>
                </c:pt>
                <c:pt idx="45">
                  <c:v>2.1390368083095135E-3</c:v>
                </c:pt>
                <c:pt idx="46">
                  <c:v>2.1685754588072204E-3</c:v>
                </c:pt>
                <c:pt idx="47">
                  <c:v>2.1775835635829965E-3</c:v>
                </c:pt>
                <c:pt idx="48">
                  <c:v>2.1802746919862281E-3</c:v>
                </c:pt>
                <c:pt idx="49">
                  <c:v>2.2142436551090272E-3</c:v>
                </c:pt>
                <c:pt idx="50">
                  <c:v>2.2148806836495005E-3</c:v>
                </c:pt>
                <c:pt idx="51">
                  <c:v>2.2229076628323963E-3</c:v>
                </c:pt>
                <c:pt idx="52">
                  <c:v>2.2566911874706275E-3</c:v>
                </c:pt>
                <c:pt idx="53">
                  <c:v>2.3096668720440361E-3</c:v>
                </c:pt>
                <c:pt idx="54">
                  <c:v>2.3116408244115982E-3</c:v>
                </c:pt>
                <c:pt idx="55">
                  <c:v>2.3175448883002714E-3</c:v>
                </c:pt>
                <c:pt idx="56">
                  <c:v>2.4543788609264761E-3</c:v>
                </c:pt>
                <c:pt idx="57">
                  <c:v>2.5132477113238849E-3</c:v>
                </c:pt>
                <c:pt idx="58">
                  <c:v>2.5544618971717892E-3</c:v>
                </c:pt>
                <c:pt idx="59">
                  <c:v>2.6492963839389594E-3</c:v>
                </c:pt>
                <c:pt idx="60">
                  <c:v>2.7297191463991899E-3</c:v>
                </c:pt>
                <c:pt idx="61">
                  <c:v>2.7899318942506968E-3</c:v>
                </c:pt>
                <c:pt idx="62">
                  <c:v>2.867247953259322E-3</c:v>
                </c:pt>
                <c:pt idx="63">
                  <c:v>2.8763107544833577E-3</c:v>
                </c:pt>
                <c:pt idx="64">
                  <c:v>2.907002689644278E-3</c:v>
                </c:pt>
                <c:pt idx="65">
                  <c:v>3.0260705716036451E-3</c:v>
                </c:pt>
                <c:pt idx="66">
                  <c:v>3.070471187378021E-3</c:v>
                </c:pt>
                <c:pt idx="67">
                  <c:v>3.0715219707523334E-3</c:v>
                </c:pt>
                <c:pt idx="68">
                  <c:v>3.072981435226052E-3</c:v>
                </c:pt>
                <c:pt idx="69">
                  <c:v>3.1226457253872297E-3</c:v>
                </c:pt>
                <c:pt idx="70">
                  <c:v>3.25365028867175E-3</c:v>
                </c:pt>
                <c:pt idx="71">
                  <c:v>3.2609712162368076E-3</c:v>
                </c:pt>
                <c:pt idx="72">
                  <c:v>3.3211121679855848E-3</c:v>
                </c:pt>
                <c:pt idx="73">
                  <c:v>3.4296509958625654E-3</c:v>
                </c:pt>
                <c:pt idx="74">
                  <c:v>3.5338254065121477E-3</c:v>
                </c:pt>
                <c:pt idx="75">
                  <c:v>3.7131442885723898E-3</c:v>
                </c:pt>
                <c:pt idx="76">
                  <c:v>3.8415841731467282E-3</c:v>
                </c:pt>
                <c:pt idx="77">
                  <c:v>3.8771721659721647E-3</c:v>
                </c:pt>
                <c:pt idx="78">
                  <c:v>3.89785390891495E-3</c:v>
                </c:pt>
                <c:pt idx="79">
                  <c:v>3.9350861168556683E-3</c:v>
                </c:pt>
                <c:pt idx="80">
                  <c:v>4.0173902333254796E-3</c:v>
                </c:pt>
                <c:pt idx="81">
                  <c:v>4.0346282683024759E-3</c:v>
                </c:pt>
                <c:pt idx="82">
                  <c:v>4.0385173085887294E-3</c:v>
                </c:pt>
                <c:pt idx="83">
                  <c:v>4.1102597127701257E-3</c:v>
                </c:pt>
                <c:pt idx="84">
                  <c:v>4.1559366262543529E-3</c:v>
                </c:pt>
                <c:pt idx="85">
                  <c:v>4.185783228725759E-3</c:v>
                </c:pt>
                <c:pt idx="86">
                  <c:v>4.2365029706753488E-3</c:v>
                </c:pt>
                <c:pt idx="87">
                  <c:v>4.4491423272742248E-3</c:v>
                </c:pt>
                <c:pt idx="88">
                  <c:v>4.4766424247536518E-3</c:v>
                </c:pt>
                <c:pt idx="89">
                  <c:v>4.5571979661794826E-3</c:v>
                </c:pt>
                <c:pt idx="90">
                  <c:v>4.6042837637753076E-3</c:v>
                </c:pt>
                <c:pt idx="91">
                  <c:v>4.7898692208370175E-3</c:v>
                </c:pt>
                <c:pt idx="92">
                  <c:v>4.8246622777323722E-3</c:v>
                </c:pt>
                <c:pt idx="93">
                  <c:v>4.9712626998749121E-3</c:v>
                </c:pt>
                <c:pt idx="94">
                  <c:v>5.1502957695488405E-3</c:v>
                </c:pt>
                <c:pt idx="95">
                  <c:v>5.1604067863670888E-3</c:v>
                </c:pt>
                <c:pt idx="96">
                  <c:v>5.1873804080529995E-3</c:v>
                </c:pt>
                <c:pt idx="97">
                  <c:v>5.4054317201841506E-3</c:v>
                </c:pt>
                <c:pt idx="98">
                  <c:v>5.4733060417566648E-3</c:v>
                </c:pt>
                <c:pt idx="99">
                  <c:v>5.7230119379113598E-3</c:v>
                </c:pt>
                <c:pt idx="100">
                  <c:v>5.7460991498926584E-3</c:v>
                </c:pt>
                <c:pt idx="101">
                  <c:v>5.8150154184488656E-3</c:v>
                </c:pt>
                <c:pt idx="102">
                  <c:v>6.1619189342947411E-3</c:v>
                </c:pt>
                <c:pt idx="103">
                  <c:v>6.2361661766671128E-3</c:v>
                </c:pt>
                <c:pt idx="104">
                  <c:v>6.4625664432622631E-3</c:v>
                </c:pt>
                <c:pt idx="105">
                  <c:v>6.5759757436801847E-3</c:v>
                </c:pt>
                <c:pt idx="106">
                  <c:v>6.5845894381246772E-3</c:v>
                </c:pt>
                <c:pt idx="107">
                  <c:v>6.6150043732345898E-3</c:v>
                </c:pt>
                <c:pt idx="108">
                  <c:v>7.2783197731935978E-3</c:v>
                </c:pt>
                <c:pt idx="109">
                  <c:v>7.3071877575237032E-3</c:v>
                </c:pt>
                <c:pt idx="110">
                  <c:v>7.3112983976919566E-3</c:v>
                </c:pt>
                <c:pt idx="111">
                  <c:v>8.1144327525057847E-3</c:v>
                </c:pt>
                <c:pt idx="112">
                  <c:v>8.3064882100072346E-3</c:v>
                </c:pt>
                <c:pt idx="113">
                  <c:v>8.5822452246623326E-3</c:v>
                </c:pt>
                <c:pt idx="114">
                  <c:v>8.6968800897031517E-3</c:v>
                </c:pt>
                <c:pt idx="115">
                  <c:v>8.7623347294089049E-3</c:v>
                </c:pt>
                <c:pt idx="116">
                  <c:v>8.8787769186444709E-3</c:v>
                </c:pt>
                <c:pt idx="117">
                  <c:v>8.9025465800782744E-3</c:v>
                </c:pt>
                <c:pt idx="118">
                  <c:v>9.4936019624465295E-3</c:v>
                </c:pt>
                <c:pt idx="119">
                  <c:v>9.5908748016461098E-3</c:v>
                </c:pt>
                <c:pt idx="120">
                  <c:v>9.8229948900192543E-3</c:v>
                </c:pt>
                <c:pt idx="121">
                  <c:v>9.8392669949336486E-3</c:v>
                </c:pt>
                <c:pt idx="122">
                  <c:v>1.1225209810011294E-2</c:v>
                </c:pt>
                <c:pt idx="123">
                  <c:v>1.2916418327736379E-2</c:v>
                </c:pt>
                <c:pt idx="124">
                  <c:v>1.3501030389674651E-2</c:v>
                </c:pt>
                <c:pt idx="125">
                  <c:v>1.5294374849522563E-2</c:v>
                </c:pt>
                <c:pt idx="126">
                  <c:v>1.671335785534489E-2</c:v>
                </c:pt>
                <c:pt idx="127">
                  <c:v>1.6856865634009566E-2</c:v>
                </c:pt>
                <c:pt idx="128">
                  <c:v>1.6917024502850708E-2</c:v>
                </c:pt>
                <c:pt idx="129">
                  <c:v>1.6955344648225124E-2</c:v>
                </c:pt>
                <c:pt idx="130">
                  <c:v>1.7759151227175418E-2</c:v>
                </c:pt>
                <c:pt idx="131">
                  <c:v>2.4577411175911834E-2</c:v>
                </c:pt>
                <c:pt idx="132">
                  <c:v>2.4612220910091853E-2</c:v>
                </c:pt>
                <c:pt idx="133">
                  <c:v>2.4744920174289531E-2</c:v>
                </c:pt>
                <c:pt idx="134">
                  <c:v>2.6209191272684396E-2</c:v>
                </c:pt>
                <c:pt idx="135">
                  <c:v>4.0877812847125439E-2</c:v>
                </c:pt>
                <c:pt idx="136">
                  <c:v>5.7794804439792347E-2</c:v>
                </c:pt>
                <c:pt idx="137">
                  <c:v>6.0469836189367965E-2</c:v>
                </c:pt>
                <c:pt idx="138">
                  <c:v>6.0993123237509494E-2</c:v>
                </c:pt>
                <c:pt idx="139">
                  <c:v>6.1208716859892487E-2</c:v>
                </c:pt>
                <c:pt idx="140">
                  <c:v>6.360412462041154E-2</c:v>
                </c:pt>
                <c:pt idx="141">
                  <c:v>8.162522825696783E-2</c:v>
                </c:pt>
                <c:pt idx="142">
                  <c:v>9.2790105084007424E-2</c:v>
                </c:pt>
                <c:pt idx="143">
                  <c:v>0.10005979418492739</c:v>
                </c:pt>
                <c:pt idx="144">
                  <c:v>0.11497373856944637</c:v>
                </c:pt>
                <c:pt idx="145">
                  <c:v>0.12568358223386966</c:v>
                </c:pt>
                <c:pt idx="146">
                  <c:v>0.13029063202591473</c:v>
                </c:pt>
                <c:pt idx="147">
                  <c:v>0.14688918021010755</c:v>
                </c:pt>
                <c:pt idx="148">
                  <c:v>0.14846094660726816</c:v>
                </c:pt>
                <c:pt idx="149">
                  <c:v>0.14956302661259513</c:v>
                </c:pt>
                <c:pt idx="150">
                  <c:v>0.15041998795777034</c:v>
                </c:pt>
                <c:pt idx="151">
                  <c:v>0.15505862040049823</c:v>
                </c:pt>
                <c:pt idx="152">
                  <c:v>0.16230997587212359</c:v>
                </c:pt>
                <c:pt idx="153">
                  <c:v>0.17332589106896557</c:v>
                </c:pt>
                <c:pt idx="154">
                  <c:v>0.18263353702874319</c:v>
                </c:pt>
                <c:pt idx="155">
                  <c:v>0.18293151900170102</c:v>
                </c:pt>
                <c:pt idx="156">
                  <c:v>0.18455173478633291</c:v>
                </c:pt>
                <c:pt idx="157">
                  <c:v>0.18956176423375992</c:v>
                </c:pt>
                <c:pt idx="158">
                  <c:v>0.21716786795207677</c:v>
                </c:pt>
                <c:pt idx="159">
                  <c:v>0.21838675703508892</c:v>
                </c:pt>
                <c:pt idx="160">
                  <c:v>0.22822934886829727</c:v>
                </c:pt>
                <c:pt idx="161">
                  <c:v>0.24137137886860505</c:v>
                </c:pt>
                <c:pt idx="162">
                  <c:v>0.24614864199224573</c:v>
                </c:pt>
                <c:pt idx="163">
                  <c:v>0.25090595155550843</c:v>
                </c:pt>
                <c:pt idx="164">
                  <c:v>0.26091192184920897</c:v>
                </c:pt>
                <c:pt idx="165">
                  <c:v>0.26944059823336353</c:v>
                </c:pt>
                <c:pt idx="166">
                  <c:v>0.27808893194883233</c:v>
                </c:pt>
                <c:pt idx="167">
                  <c:v>0.28162781692815952</c:v>
                </c:pt>
                <c:pt idx="168">
                  <c:v>0.28292539151147855</c:v>
                </c:pt>
                <c:pt idx="169">
                  <c:v>0.28950053484009464</c:v>
                </c:pt>
                <c:pt idx="170">
                  <c:v>0.29664218284810939</c:v>
                </c:pt>
                <c:pt idx="171">
                  <c:v>0.30457171986754916</c:v>
                </c:pt>
                <c:pt idx="172">
                  <c:v>0.30975432081240639</c:v>
                </c:pt>
                <c:pt idx="173">
                  <c:v>0.30996389545286041</c:v>
                </c:pt>
                <c:pt idx="174">
                  <c:v>0.31326290900201414</c:v>
                </c:pt>
                <c:pt idx="175">
                  <c:v>0.31598430790138465</c:v>
                </c:pt>
                <c:pt idx="176">
                  <c:v>0.31600971205935524</c:v>
                </c:pt>
                <c:pt idx="177">
                  <c:v>0.32202835564798682</c:v>
                </c:pt>
                <c:pt idx="178">
                  <c:v>0.3238705453277444</c:v>
                </c:pt>
                <c:pt idx="179">
                  <c:v>0.33711478981471499</c:v>
                </c:pt>
                <c:pt idx="180">
                  <c:v>0.33967689703719017</c:v>
                </c:pt>
                <c:pt idx="181">
                  <c:v>0.34185223666116615</c:v>
                </c:pt>
                <c:pt idx="182">
                  <c:v>0.34241745665115608</c:v>
                </c:pt>
                <c:pt idx="183">
                  <c:v>0.34300806392806904</c:v>
                </c:pt>
                <c:pt idx="184">
                  <c:v>0.34525092191275863</c:v>
                </c:pt>
                <c:pt idx="185">
                  <c:v>0.35916515888684952</c:v>
                </c:pt>
                <c:pt idx="186">
                  <c:v>0.36469352225981222</c:v>
                </c:pt>
                <c:pt idx="187">
                  <c:v>0.38651877354085729</c:v>
                </c:pt>
                <c:pt idx="188">
                  <c:v>0.39492259161900545</c:v>
                </c:pt>
                <c:pt idx="189">
                  <c:v>0.39493481759243787</c:v>
                </c:pt>
                <c:pt idx="190">
                  <c:v>0.39853838509336148</c:v>
                </c:pt>
                <c:pt idx="191">
                  <c:v>0.40655527858627227</c:v>
                </c:pt>
                <c:pt idx="192">
                  <c:v>0.41148553990733061</c:v>
                </c:pt>
                <c:pt idx="193">
                  <c:v>0.41586502067244091</c:v>
                </c:pt>
                <c:pt idx="194">
                  <c:v>0.42057096523510085</c:v>
                </c:pt>
                <c:pt idx="195">
                  <c:v>0.4218147126531413</c:v>
                </c:pt>
                <c:pt idx="196">
                  <c:v>0.43066570826014672</c:v>
                </c:pt>
                <c:pt idx="197">
                  <c:v>0.45115704183292515</c:v>
                </c:pt>
                <c:pt idx="198">
                  <c:v>0.45750937153194904</c:v>
                </c:pt>
                <c:pt idx="199">
                  <c:v>0.47481623877534884</c:v>
                </c:pt>
                <c:pt idx="200">
                  <c:v>0.48050736571064101</c:v>
                </c:pt>
                <c:pt idx="201">
                  <c:v>0.4891938036221084</c:v>
                </c:pt>
                <c:pt idx="202">
                  <c:v>0.49127806545209729</c:v>
                </c:pt>
                <c:pt idx="203">
                  <c:v>0.49360089566271048</c:v>
                </c:pt>
                <c:pt idx="204">
                  <c:v>0.49417641425979997</c:v>
                </c:pt>
                <c:pt idx="205">
                  <c:v>0.49630835008974239</c:v>
                </c:pt>
                <c:pt idx="206">
                  <c:v>0.49657602164351389</c:v>
                </c:pt>
                <c:pt idx="207">
                  <c:v>0.50057629590774622</c:v>
                </c:pt>
                <c:pt idx="208">
                  <c:v>0.51058544908531323</c:v>
                </c:pt>
                <c:pt idx="209">
                  <c:v>0.51237960438636221</c:v>
                </c:pt>
                <c:pt idx="210">
                  <c:v>0.5167344705720569</c:v>
                </c:pt>
                <c:pt idx="211">
                  <c:v>0.52736699711954338</c:v>
                </c:pt>
                <c:pt idx="212">
                  <c:v>0.5278391499433559</c:v>
                </c:pt>
                <c:pt idx="213">
                  <c:v>0.53051966997077904</c:v>
                </c:pt>
                <c:pt idx="214">
                  <c:v>0.53751601660483428</c:v>
                </c:pt>
                <c:pt idx="215">
                  <c:v>0.53903203565706281</c:v>
                </c:pt>
                <c:pt idx="216">
                  <c:v>0.54180880760452943</c:v>
                </c:pt>
                <c:pt idx="217">
                  <c:v>0.54610159692287641</c:v>
                </c:pt>
                <c:pt idx="218">
                  <c:v>0.55319516273791769</c:v>
                </c:pt>
                <c:pt idx="219">
                  <c:v>0.55945874552714181</c:v>
                </c:pt>
                <c:pt idx="220">
                  <c:v>0.5605971416648623</c:v>
                </c:pt>
                <c:pt idx="221">
                  <c:v>0.5636567491023794</c:v>
                </c:pt>
                <c:pt idx="222">
                  <c:v>0.56709650220524321</c:v>
                </c:pt>
                <c:pt idx="223">
                  <c:v>0.5705031361272157</c:v>
                </c:pt>
                <c:pt idx="224">
                  <c:v>0.571366588330807</c:v>
                </c:pt>
                <c:pt idx="225">
                  <c:v>0.57373547378341649</c:v>
                </c:pt>
                <c:pt idx="226">
                  <c:v>0.58236075897180106</c:v>
                </c:pt>
                <c:pt idx="227">
                  <c:v>0.59163425094346034</c:v>
                </c:pt>
                <c:pt idx="228">
                  <c:v>0.60002520356019695</c:v>
                </c:pt>
                <c:pt idx="229">
                  <c:v>0.60291234886056477</c:v>
                </c:pt>
                <c:pt idx="230">
                  <c:v>0.60402479444705981</c:v>
                </c:pt>
                <c:pt idx="231">
                  <c:v>0.60570275592342704</c:v>
                </c:pt>
                <c:pt idx="232">
                  <c:v>0.60940799337196538</c:v>
                </c:pt>
                <c:pt idx="233">
                  <c:v>0.61383618765589931</c:v>
                </c:pt>
                <c:pt idx="234">
                  <c:v>0.61593033051128909</c:v>
                </c:pt>
                <c:pt idx="235">
                  <c:v>0.61613610562535892</c:v>
                </c:pt>
                <c:pt idx="236">
                  <c:v>0.61930937951307019</c:v>
                </c:pt>
                <c:pt idx="237">
                  <c:v>0.62018129978328784</c:v>
                </c:pt>
                <c:pt idx="238">
                  <c:v>0.62746187684951504</c:v>
                </c:pt>
                <c:pt idx="239">
                  <c:v>0.62803157656864594</c:v>
                </c:pt>
                <c:pt idx="240">
                  <c:v>0.62968565986290237</c:v>
                </c:pt>
                <c:pt idx="241">
                  <c:v>0.63316139783932035</c:v>
                </c:pt>
                <c:pt idx="242">
                  <c:v>0.63875768676259959</c:v>
                </c:pt>
                <c:pt idx="243">
                  <c:v>0.63963596321618876</c:v>
                </c:pt>
                <c:pt idx="244">
                  <c:v>0.64040885740512543</c:v>
                </c:pt>
                <c:pt idx="245">
                  <c:v>0.64330102528590727</c:v>
                </c:pt>
                <c:pt idx="246">
                  <c:v>0.64831614196840537</c:v>
                </c:pt>
                <c:pt idx="247">
                  <c:v>0.65257647683440212</c:v>
                </c:pt>
                <c:pt idx="248">
                  <c:v>0.65483937537572712</c:v>
                </c:pt>
                <c:pt idx="249">
                  <c:v>0.65979804428476463</c:v>
                </c:pt>
                <c:pt idx="250">
                  <c:v>0.6646198274904801</c:v>
                </c:pt>
                <c:pt idx="251">
                  <c:v>0.66544829487039592</c:v>
                </c:pt>
                <c:pt idx="252">
                  <c:v>0.6657442450991663</c:v>
                </c:pt>
                <c:pt idx="253">
                  <c:v>0.66977459028694009</c:v>
                </c:pt>
                <c:pt idx="254">
                  <c:v>0.66999819386910553</c:v>
                </c:pt>
                <c:pt idx="255">
                  <c:v>0.67050453465376703</c:v>
                </c:pt>
                <c:pt idx="256">
                  <c:v>0.67381298680610291</c:v>
                </c:pt>
                <c:pt idx="257">
                  <c:v>0.69944202730539362</c:v>
                </c:pt>
                <c:pt idx="258">
                  <c:v>0.70013622955492094</c:v>
                </c:pt>
                <c:pt idx="259">
                  <c:v>0.70207640704513463</c:v>
                </c:pt>
                <c:pt idx="260">
                  <c:v>0.71254779073105645</c:v>
                </c:pt>
                <c:pt idx="261">
                  <c:v>0.71464343057447244</c:v>
                </c:pt>
                <c:pt idx="262">
                  <c:v>0.71625829260252782</c:v>
                </c:pt>
                <c:pt idx="263">
                  <c:v>0.71831769233134324</c:v>
                </c:pt>
                <c:pt idx="264">
                  <c:v>0.72691986481990756</c:v>
                </c:pt>
                <c:pt idx="265">
                  <c:v>0.74376546634870744</c:v>
                </c:pt>
                <c:pt idx="266">
                  <c:v>0.75594765934393604</c:v>
                </c:pt>
                <c:pt idx="267">
                  <c:v>0.75971927276478923</c:v>
                </c:pt>
                <c:pt idx="268">
                  <c:v>0.76608429129926858</c:v>
                </c:pt>
                <c:pt idx="269">
                  <c:v>0.77206116847408868</c:v>
                </c:pt>
                <c:pt idx="270">
                  <c:v>0.7846922528654362</c:v>
                </c:pt>
                <c:pt idx="271">
                  <c:v>0.78595137634265311</c:v>
                </c:pt>
                <c:pt idx="272">
                  <c:v>0.78696770415871486</c:v>
                </c:pt>
                <c:pt idx="273">
                  <c:v>0.79749086291209892</c:v>
                </c:pt>
                <c:pt idx="274">
                  <c:v>0.79765351073598367</c:v>
                </c:pt>
                <c:pt idx="275">
                  <c:v>0.79989928834332691</c:v>
                </c:pt>
                <c:pt idx="276">
                  <c:v>0.80571582634245764</c:v>
                </c:pt>
                <c:pt idx="277">
                  <c:v>0.81991242438141321</c:v>
                </c:pt>
                <c:pt idx="278">
                  <c:v>0.82119224463774343</c:v>
                </c:pt>
                <c:pt idx="279">
                  <c:v>0.83137542052311542</c:v>
                </c:pt>
                <c:pt idx="280">
                  <c:v>0.8315121135305148</c:v>
                </c:pt>
                <c:pt idx="281">
                  <c:v>0.83241150659604446</c:v>
                </c:pt>
                <c:pt idx="282">
                  <c:v>0.83636945006945651</c:v>
                </c:pt>
                <c:pt idx="283">
                  <c:v>0.84189016260420535</c:v>
                </c:pt>
                <c:pt idx="284">
                  <c:v>0.84471757724284768</c:v>
                </c:pt>
                <c:pt idx="285">
                  <c:v>0.85278910015541087</c:v>
                </c:pt>
                <c:pt idx="286">
                  <c:v>0.85282368695609956</c:v>
                </c:pt>
                <c:pt idx="287">
                  <c:v>0.85607180007973649</c:v>
                </c:pt>
                <c:pt idx="288">
                  <c:v>0.87965109840613054</c:v>
                </c:pt>
                <c:pt idx="289">
                  <c:v>0.88085607654342535</c:v>
                </c:pt>
                <c:pt idx="290">
                  <c:v>0.8895040240576626</c:v>
                </c:pt>
                <c:pt idx="291">
                  <c:v>0.89491171503199984</c:v>
                </c:pt>
                <c:pt idx="292">
                  <c:v>0.89568533493445135</c:v>
                </c:pt>
                <c:pt idx="293">
                  <c:v>0.89842228991540285</c:v>
                </c:pt>
                <c:pt idx="294">
                  <c:v>0.90007176748823758</c:v>
                </c:pt>
                <c:pt idx="295">
                  <c:v>0.91035960757467649</c:v>
                </c:pt>
                <c:pt idx="296">
                  <c:v>0.92708424867911765</c:v>
                </c:pt>
                <c:pt idx="297">
                  <c:v>0.93493522948620977</c:v>
                </c:pt>
                <c:pt idx="298">
                  <c:v>0.93555472101911175</c:v>
                </c:pt>
                <c:pt idx="299">
                  <c:v>0.9431197260216041</c:v>
                </c:pt>
                <c:pt idx="300">
                  <c:v>0.95253816235250299</c:v>
                </c:pt>
                <c:pt idx="301">
                  <c:v>0.95474640609042316</c:v>
                </c:pt>
                <c:pt idx="302">
                  <c:v>0.95897448041604805</c:v>
                </c:pt>
                <c:pt idx="303">
                  <c:v>0.96205026925652914</c:v>
                </c:pt>
                <c:pt idx="304">
                  <c:v>0.99544350088675493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1-4C7D-94DF-26891DEED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3965616"/>
        <c:axId val="1149478064"/>
      </c:barChart>
      <c:catAx>
        <c:axId val="138396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49478064"/>
        <c:crosses val="autoZero"/>
        <c:auto val="1"/>
        <c:lblAlgn val="ctr"/>
        <c:lblOffset val="100"/>
        <c:noMultiLvlLbl val="0"/>
      </c:catAx>
      <c:valAx>
        <c:axId val="114947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8396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ED9333B-578C-427E-B452-55C51C3F1CEB}" type="doc">
      <dgm:prSet loTypeId="urn:microsoft.com/office/officeart/2005/8/layout/chart3" loCatId="cycle" qsTypeId="urn:microsoft.com/office/officeart/2005/8/quickstyle/simple1" qsCatId="simple" csTypeId="urn:microsoft.com/office/officeart/2005/8/colors/accent1_2" csCatId="accent1" phldr="1"/>
      <dgm:spPr/>
    </dgm:pt>
    <dgm:pt modelId="{7C3AF97B-648D-4C1A-BBD5-F577F5E747EB}">
      <dgm:prSet phldrT="[Tekst]"/>
      <dgm:spPr/>
      <dgm:t>
        <a:bodyPr/>
        <a:lstStyle/>
        <a:p>
          <a:r>
            <a:rPr lang="nl-NL"/>
            <a:t>Rijksoverheid</a:t>
          </a:r>
        </a:p>
      </dgm:t>
    </dgm:pt>
    <dgm:pt modelId="{87959F3E-90DF-4EE3-B464-5AE09DC91432}" type="parTrans" cxnId="{E6B84C1D-8AE2-41BE-BA12-4C4D257B59BE}">
      <dgm:prSet/>
      <dgm:spPr/>
      <dgm:t>
        <a:bodyPr/>
        <a:lstStyle/>
        <a:p>
          <a:endParaRPr lang="nl-NL"/>
        </a:p>
      </dgm:t>
    </dgm:pt>
    <dgm:pt modelId="{6537039E-4E82-4224-8B71-CAD214C32F9D}" type="sibTrans" cxnId="{E6B84C1D-8AE2-41BE-BA12-4C4D257B59BE}">
      <dgm:prSet/>
      <dgm:spPr/>
      <dgm:t>
        <a:bodyPr/>
        <a:lstStyle/>
        <a:p>
          <a:endParaRPr lang="nl-NL"/>
        </a:p>
      </dgm:t>
    </dgm:pt>
    <dgm:pt modelId="{7E82433E-C9EA-4553-9A79-65251F8800EC}" type="pres">
      <dgm:prSet presAssocID="{CED9333B-578C-427E-B452-55C51C3F1CEB}" presName="compositeShape" presStyleCnt="0">
        <dgm:presLayoutVars>
          <dgm:chMax val="7"/>
          <dgm:dir/>
          <dgm:resizeHandles val="exact"/>
        </dgm:presLayoutVars>
      </dgm:prSet>
      <dgm:spPr/>
    </dgm:pt>
    <dgm:pt modelId="{AE85143E-41B4-4D96-A758-13A7FDE5DF64}" type="pres">
      <dgm:prSet presAssocID="{CED9333B-578C-427E-B452-55C51C3F1CEB}" presName="wedge1" presStyleLbl="node1" presStyleIdx="0" presStyleCnt="1"/>
      <dgm:spPr/>
    </dgm:pt>
    <dgm:pt modelId="{3302644A-2F69-4928-80C5-F81E588E169A}" type="pres">
      <dgm:prSet presAssocID="{CED9333B-578C-427E-B452-55C51C3F1CEB}" presName="wedge1Tx" presStyleLbl="node1" presStyleIdx="0" presStyleCnt="1">
        <dgm:presLayoutVars>
          <dgm:chMax val="0"/>
          <dgm:chPref val="0"/>
          <dgm:bulletEnabled val="1"/>
        </dgm:presLayoutVars>
      </dgm:prSet>
      <dgm:spPr/>
    </dgm:pt>
  </dgm:ptLst>
  <dgm:cxnLst>
    <dgm:cxn modelId="{E6B84C1D-8AE2-41BE-BA12-4C4D257B59BE}" srcId="{CED9333B-578C-427E-B452-55C51C3F1CEB}" destId="{7C3AF97B-648D-4C1A-BBD5-F577F5E747EB}" srcOrd="0" destOrd="0" parTransId="{87959F3E-90DF-4EE3-B464-5AE09DC91432}" sibTransId="{6537039E-4E82-4224-8B71-CAD214C32F9D}"/>
    <dgm:cxn modelId="{8992FA31-0275-4C57-A684-BBE1B2D435C8}" type="presOf" srcId="{7C3AF97B-648D-4C1A-BBD5-F577F5E747EB}" destId="{AE85143E-41B4-4D96-A758-13A7FDE5DF64}" srcOrd="0" destOrd="0" presId="urn:microsoft.com/office/officeart/2005/8/layout/chart3"/>
    <dgm:cxn modelId="{52CAAB94-AAF2-40C8-880E-9F647AA5F69C}" type="presOf" srcId="{7C3AF97B-648D-4C1A-BBD5-F577F5E747EB}" destId="{3302644A-2F69-4928-80C5-F81E588E169A}" srcOrd="1" destOrd="0" presId="urn:microsoft.com/office/officeart/2005/8/layout/chart3"/>
    <dgm:cxn modelId="{13300DCA-1626-4DAA-A14C-B426B5FD9FEA}" type="presOf" srcId="{CED9333B-578C-427E-B452-55C51C3F1CEB}" destId="{7E82433E-C9EA-4553-9A79-65251F8800EC}" srcOrd="0" destOrd="0" presId="urn:microsoft.com/office/officeart/2005/8/layout/chart3"/>
    <dgm:cxn modelId="{412F6A83-1D05-4BD6-BC1C-9A640C44CDB7}" type="presParOf" srcId="{7E82433E-C9EA-4553-9A79-65251F8800EC}" destId="{AE85143E-41B4-4D96-A758-13A7FDE5DF64}" srcOrd="0" destOrd="0" presId="urn:microsoft.com/office/officeart/2005/8/layout/chart3"/>
    <dgm:cxn modelId="{0F455CAC-EF20-4884-BFE7-94BFF224937E}" type="presParOf" srcId="{7E82433E-C9EA-4553-9A79-65251F8800EC}" destId="{3302644A-2F69-4928-80C5-F81E588E169A}" srcOrd="1" destOrd="0" presId="urn:microsoft.com/office/officeart/2005/8/layout/chart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CED9333B-578C-427E-B452-55C51C3F1CEB}" type="doc">
      <dgm:prSet loTypeId="urn:microsoft.com/office/officeart/2005/8/layout/chart3" loCatId="cycle" qsTypeId="urn:microsoft.com/office/officeart/2005/8/quickstyle/simple1" qsCatId="simple" csTypeId="urn:microsoft.com/office/officeart/2005/8/colors/accent1_2" csCatId="accent1" phldr="1"/>
      <dgm:spPr/>
    </dgm:pt>
    <dgm:pt modelId="{7C3AF97B-648D-4C1A-BBD5-F577F5E747EB}">
      <dgm:prSet phldrT="[Tekst]"/>
      <dgm:spPr/>
      <dgm:t>
        <a:bodyPr/>
        <a:lstStyle/>
        <a:p>
          <a:r>
            <a:rPr lang="nl-NL"/>
            <a:t>Kandidaten</a:t>
          </a:r>
        </a:p>
      </dgm:t>
    </dgm:pt>
    <dgm:pt modelId="{87959F3E-90DF-4EE3-B464-5AE09DC91432}" type="parTrans" cxnId="{E6B84C1D-8AE2-41BE-BA12-4C4D257B59BE}">
      <dgm:prSet/>
      <dgm:spPr/>
      <dgm:t>
        <a:bodyPr/>
        <a:lstStyle/>
        <a:p>
          <a:endParaRPr lang="nl-NL"/>
        </a:p>
      </dgm:t>
    </dgm:pt>
    <dgm:pt modelId="{6537039E-4E82-4224-8B71-CAD214C32F9D}" type="sibTrans" cxnId="{E6B84C1D-8AE2-41BE-BA12-4C4D257B59BE}">
      <dgm:prSet/>
      <dgm:spPr/>
      <dgm:t>
        <a:bodyPr/>
        <a:lstStyle/>
        <a:p>
          <a:endParaRPr lang="nl-NL"/>
        </a:p>
      </dgm:t>
    </dgm:pt>
    <dgm:pt modelId="{4FBCA2F2-6A11-4664-8201-371E6EC888F8}">
      <dgm:prSet phldrT="[Tekst]"/>
      <dgm:spPr/>
      <dgm:t>
        <a:bodyPr/>
        <a:lstStyle/>
        <a:p>
          <a:r>
            <a:rPr lang="nl-NL"/>
            <a:t>Werkgevers</a:t>
          </a:r>
        </a:p>
      </dgm:t>
    </dgm:pt>
    <dgm:pt modelId="{DC68884D-DF4B-457F-9739-9BD8909D9C52}" type="parTrans" cxnId="{2888C0C5-6CA1-48A3-B7F0-3DC091DD0575}">
      <dgm:prSet/>
      <dgm:spPr/>
      <dgm:t>
        <a:bodyPr/>
        <a:lstStyle/>
        <a:p>
          <a:endParaRPr lang="nl-NL"/>
        </a:p>
      </dgm:t>
    </dgm:pt>
    <dgm:pt modelId="{DB5217F7-FA96-491A-BFAB-F08DB742130C}" type="sibTrans" cxnId="{2888C0C5-6CA1-48A3-B7F0-3DC091DD0575}">
      <dgm:prSet/>
      <dgm:spPr/>
      <dgm:t>
        <a:bodyPr/>
        <a:lstStyle/>
        <a:p>
          <a:endParaRPr lang="nl-NL"/>
        </a:p>
      </dgm:t>
    </dgm:pt>
    <dgm:pt modelId="{60B7A892-F2CA-4AAB-9ED1-1AE80EF8C07F}">
      <dgm:prSet phldrT="[Tekst]"/>
      <dgm:spPr/>
      <dgm:t>
        <a:bodyPr/>
        <a:lstStyle/>
        <a:p>
          <a:r>
            <a:rPr lang="nl-NL"/>
            <a:t>Andere partijen</a:t>
          </a:r>
        </a:p>
      </dgm:t>
    </dgm:pt>
    <dgm:pt modelId="{A380663A-6F94-4610-86D4-B6C3A2B28B58}" type="parTrans" cxnId="{450AFA59-5818-4EB9-A19A-5B048F8E9A87}">
      <dgm:prSet/>
      <dgm:spPr/>
      <dgm:t>
        <a:bodyPr/>
        <a:lstStyle/>
        <a:p>
          <a:endParaRPr lang="nl-NL"/>
        </a:p>
      </dgm:t>
    </dgm:pt>
    <dgm:pt modelId="{6D066921-10F3-4090-B8E7-D37E23B19D0A}" type="sibTrans" cxnId="{450AFA59-5818-4EB9-A19A-5B048F8E9A87}">
      <dgm:prSet/>
      <dgm:spPr/>
      <dgm:t>
        <a:bodyPr/>
        <a:lstStyle/>
        <a:p>
          <a:endParaRPr lang="nl-NL"/>
        </a:p>
      </dgm:t>
    </dgm:pt>
    <dgm:pt modelId="{7E82433E-C9EA-4553-9A79-65251F8800EC}" type="pres">
      <dgm:prSet presAssocID="{CED9333B-578C-427E-B452-55C51C3F1CEB}" presName="compositeShape" presStyleCnt="0">
        <dgm:presLayoutVars>
          <dgm:chMax val="7"/>
          <dgm:dir/>
          <dgm:resizeHandles val="exact"/>
        </dgm:presLayoutVars>
      </dgm:prSet>
      <dgm:spPr/>
    </dgm:pt>
    <dgm:pt modelId="{AE85143E-41B4-4D96-A758-13A7FDE5DF64}" type="pres">
      <dgm:prSet presAssocID="{CED9333B-578C-427E-B452-55C51C3F1CEB}" presName="wedge1" presStyleLbl="node1" presStyleIdx="0" presStyleCnt="3" custLinFactNeighborX="-5291" custLinFactNeighborY="3307"/>
      <dgm:spPr/>
    </dgm:pt>
    <dgm:pt modelId="{3302644A-2F69-4928-80C5-F81E588E169A}" type="pres">
      <dgm:prSet presAssocID="{CED9333B-578C-427E-B452-55C51C3F1CEB}" presName="wedge1Tx" presStyleLbl="node1" presStyleIdx="0" presStyleCnt="3">
        <dgm:presLayoutVars>
          <dgm:chMax val="0"/>
          <dgm:chPref val="0"/>
          <dgm:bulletEnabled val="1"/>
        </dgm:presLayoutVars>
      </dgm:prSet>
      <dgm:spPr/>
    </dgm:pt>
    <dgm:pt modelId="{ECC309E5-B4F4-4F85-84E5-BD481B2D1719}" type="pres">
      <dgm:prSet presAssocID="{CED9333B-578C-427E-B452-55C51C3F1CEB}" presName="wedge2" presStyleLbl="node1" presStyleIdx="1" presStyleCnt="3"/>
      <dgm:spPr/>
    </dgm:pt>
    <dgm:pt modelId="{2A121D9B-8E40-442A-AF88-CD1D7A617FDE}" type="pres">
      <dgm:prSet presAssocID="{CED9333B-578C-427E-B452-55C51C3F1CEB}" presName="wedge2Tx" presStyleLbl="node1" presStyleIdx="1" presStyleCnt="3">
        <dgm:presLayoutVars>
          <dgm:chMax val="0"/>
          <dgm:chPref val="0"/>
          <dgm:bulletEnabled val="1"/>
        </dgm:presLayoutVars>
      </dgm:prSet>
      <dgm:spPr/>
    </dgm:pt>
    <dgm:pt modelId="{D65C71F7-B14E-4B67-9CC5-A52BADB94B99}" type="pres">
      <dgm:prSet presAssocID="{CED9333B-578C-427E-B452-55C51C3F1CEB}" presName="wedge3" presStyleLbl="node1" presStyleIdx="2" presStyleCnt="3"/>
      <dgm:spPr/>
    </dgm:pt>
    <dgm:pt modelId="{A9E3E31F-66AA-41B6-8B30-F34154B9F6AB}" type="pres">
      <dgm:prSet presAssocID="{CED9333B-578C-427E-B452-55C51C3F1CEB}" presName="wedge3Tx" presStyleLbl="node1" presStyleIdx="2" presStyleCnt="3">
        <dgm:presLayoutVars>
          <dgm:chMax val="0"/>
          <dgm:chPref val="0"/>
          <dgm:bulletEnabled val="1"/>
        </dgm:presLayoutVars>
      </dgm:prSet>
      <dgm:spPr/>
    </dgm:pt>
  </dgm:ptLst>
  <dgm:cxnLst>
    <dgm:cxn modelId="{ED16C41B-817C-4AB0-9BFB-4AFB6E08F279}" type="presOf" srcId="{4FBCA2F2-6A11-4664-8201-371E6EC888F8}" destId="{2A121D9B-8E40-442A-AF88-CD1D7A617FDE}" srcOrd="1" destOrd="0" presId="urn:microsoft.com/office/officeart/2005/8/layout/chart3"/>
    <dgm:cxn modelId="{E6B84C1D-8AE2-41BE-BA12-4C4D257B59BE}" srcId="{CED9333B-578C-427E-B452-55C51C3F1CEB}" destId="{7C3AF97B-648D-4C1A-BBD5-F577F5E747EB}" srcOrd="0" destOrd="0" parTransId="{87959F3E-90DF-4EE3-B464-5AE09DC91432}" sibTransId="{6537039E-4E82-4224-8B71-CAD214C32F9D}"/>
    <dgm:cxn modelId="{8992FA31-0275-4C57-A684-BBE1B2D435C8}" type="presOf" srcId="{7C3AF97B-648D-4C1A-BBD5-F577F5E747EB}" destId="{AE85143E-41B4-4D96-A758-13A7FDE5DF64}" srcOrd="0" destOrd="0" presId="urn:microsoft.com/office/officeart/2005/8/layout/chart3"/>
    <dgm:cxn modelId="{399FEF5E-D2C4-49B3-B346-AB453FB62810}" type="presOf" srcId="{60B7A892-F2CA-4AAB-9ED1-1AE80EF8C07F}" destId="{D65C71F7-B14E-4B67-9CC5-A52BADB94B99}" srcOrd="0" destOrd="0" presId="urn:microsoft.com/office/officeart/2005/8/layout/chart3"/>
    <dgm:cxn modelId="{46AC4257-D89A-41DB-B0A8-A806B200C93D}" type="presOf" srcId="{60B7A892-F2CA-4AAB-9ED1-1AE80EF8C07F}" destId="{A9E3E31F-66AA-41B6-8B30-F34154B9F6AB}" srcOrd="1" destOrd="0" presId="urn:microsoft.com/office/officeart/2005/8/layout/chart3"/>
    <dgm:cxn modelId="{450AFA59-5818-4EB9-A19A-5B048F8E9A87}" srcId="{CED9333B-578C-427E-B452-55C51C3F1CEB}" destId="{60B7A892-F2CA-4AAB-9ED1-1AE80EF8C07F}" srcOrd="2" destOrd="0" parTransId="{A380663A-6F94-4610-86D4-B6C3A2B28B58}" sibTransId="{6D066921-10F3-4090-B8E7-D37E23B19D0A}"/>
    <dgm:cxn modelId="{52CAAB94-AAF2-40C8-880E-9F647AA5F69C}" type="presOf" srcId="{7C3AF97B-648D-4C1A-BBD5-F577F5E747EB}" destId="{3302644A-2F69-4928-80C5-F81E588E169A}" srcOrd="1" destOrd="0" presId="urn:microsoft.com/office/officeart/2005/8/layout/chart3"/>
    <dgm:cxn modelId="{2888C0C5-6CA1-48A3-B7F0-3DC091DD0575}" srcId="{CED9333B-578C-427E-B452-55C51C3F1CEB}" destId="{4FBCA2F2-6A11-4664-8201-371E6EC888F8}" srcOrd="1" destOrd="0" parTransId="{DC68884D-DF4B-457F-9739-9BD8909D9C52}" sibTransId="{DB5217F7-FA96-491A-BFAB-F08DB742130C}"/>
    <dgm:cxn modelId="{13300DCA-1626-4DAA-A14C-B426B5FD9FEA}" type="presOf" srcId="{CED9333B-578C-427E-B452-55C51C3F1CEB}" destId="{7E82433E-C9EA-4553-9A79-65251F8800EC}" srcOrd="0" destOrd="0" presId="urn:microsoft.com/office/officeart/2005/8/layout/chart3"/>
    <dgm:cxn modelId="{A9AE97E7-206D-4384-8E41-3A87EA33A9A8}" type="presOf" srcId="{4FBCA2F2-6A11-4664-8201-371E6EC888F8}" destId="{ECC309E5-B4F4-4F85-84E5-BD481B2D1719}" srcOrd="0" destOrd="0" presId="urn:microsoft.com/office/officeart/2005/8/layout/chart3"/>
    <dgm:cxn modelId="{412F6A83-1D05-4BD6-BC1C-9A640C44CDB7}" type="presParOf" srcId="{7E82433E-C9EA-4553-9A79-65251F8800EC}" destId="{AE85143E-41B4-4D96-A758-13A7FDE5DF64}" srcOrd="0" destOrd="0" presId="urn:microsoft.com/office/officeart/2005/8/layout/chart3"/>
    <dgm:cxn modelId="{0F455CAC-EF20-4884-BFE7-94BFF224937E}" type="presParOf" srcId="{7E82433E-C9EA-4553-9A79-65251F8800EC}" destId="{3302644A-2F69-4928-80C5-F81E588E169A}" srcOrd="1" destOrd="0" presId="urn:microsoft.com/office/officeart/2005/8/layout/chart3"/>
    <dgm:cxn modelId="{6017B2B6-7C03-4DF0-AA10-CB3A3CC9B159}" type="presParOf" srcId="{7E82433E-C9EA-4553-9A79-65251F8800EC}" destId="{ECC309E5-B4F4-4F85-84E5-BD481B2D1719}" srcOrd="2" destOrd="0" presId="urn:microsoft.com/office/officeart/2005/8/layout/chart3"/>
    <dgm:cxn modelId="{7D92D8C9-4903-4E6F-9C00-F16349429572}" type="presParOf" srcId="{7E82433E-C9EA-4553-9A79-65251F8800EC}" destId="{2A121D9B-8E40-442A-AF88-CD1D7A617FDE}" srcOrd="3" destOrd="0" presId="urn:microsoft.com/office/officeart/2005/8/layout/chart3"/>
    <dgm:cxn modelId="{795AA1A8-1F7B-4928-B74C-7DF55F47C5E8}" type="presParOf" srcId="{7E82433E-C9EA-4553-9A79-65251F8800EC}" destId="{D65C71F7-B14E-4B67-9CC5-A52BADB94B99}" srcOrd="4" destOrd="0" presId="urn:microsoft.com/office/officeart/2005/8/layout/chart3"/>
    <dgm:cxn modelId="{900A753E-9FFF-4FDB-AD8C-0E1216A8B9C4}" type="presParOf" srcId="{7E82433E-C9EA-4553-9A79-65251F8800EC}" destId="{A9E3E31F-66AA-41B6-8B30-F34154B9F6AB}" srcOrd="5" destOrd="0" presId="urn:microsoft.com/office/officeart/2005/8/layout/chart3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99058E0B-CBF0-4F6E-B157-E62A0722F0E0}" type="doc">
      <dgm:prSet loTypeId="urn:microsoft.com/office/officeart/2005/8/layout/cycle4" loCatId="cycl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nl-NL"/>
        </a:p>
      </dgm:t>
    </dgm:pt>
    <dgm:pt modelId="{508D557E-57C7-4971-836A-825FB9A705DB}">
      <dgm:prSet phldrT="[Tekst]" custT="1"/>
      <dgm:spPr/>
      <dgm:t>
        <a:bodyPr/>
        <a:lstStyle/>
        <a:p>
          <a:r>
            <a:rPr lang="nl-NL" sz="1200"/>
            <a:t>Afdeling W&amp;I</a:t>
          </a:r>
        </a:p>
      </dgm:t>
    </dgm:pt>
    <dgm:pt modelId="{A50CA258-2123-47FB-9204-6A7E09854EEB}" type="parTrans" cxnId="{F96AD209-7B9B-4866-83C7-92242372AC13}">
      <dgm:prSet/>
      <dgm:spPr/>
      <dgm:t>
        <a:bodyPr/>
        <a:lstStyle/>
        <a:p>
          <a:endParaRPr lang="nl-NL"/>
        </a:p>
      </dgm:t>
    </dgm:pt>
    <dgm:pt modelId="{EAE97FF0-F064-4C8E-9722-1A2AC06FE503}" type="sibTrans" cxnId="{F96AD209-7B9B-4866-83C7-92242372AC13}">
      <dgm:prSet/>
      <dgm:spPr/>
      <dgm:t>
        <a:bodyPr/>
        <a:lstStyle/>
        <a:p>
          <a:endParaRPr lang="nl-NL"/>
        </a:p>
      </dgm:t>
    </dgm:pt>
    <dgm:pt modelId="{88BBB0DE-64DF-424B-8002-CDD97BCC6DCE}">
      <dgm:prSet phldrT="[Tekst]" custT="1"/>
      <dgm:spPr/>
      <dgm:t>
        <a:bodyPr/>
        <a:lstStyle/>
        <a:p>
          <a:r>
            <a:rPr lang="nl-NL" sz="1200"/>
            <a:t>Andere afdelingen</a:t>
          </a:r>
        </a:p>
      </dgm:t>
    </dgm:pt>
    <dgm:pt modelId="{222CF518-9356-4002-97A1-073264967019}" type="parTrans" cxnId="{C88AF7E7-3AFE-415A-A11D-0AFA682E0916}">
      <dgm:prSet/>
      <dgm:spPr/>
      <dgm:t>
        <a:bodyPr/>
        <a:lstStyle/>
        <a:p>
          <a:endParaRPr lang="nl-NL"/>
        </a:p>
      </dgm:t>
    </dgm:pt>
    <dgm:pt modelId="{2AC29E91-8BA2-49BA-87FB-9C3951941862}" type="sibTrans" cxnId="{C88AF7E7-3AFE-415A-A11D-0AFA682E0916}">
      <dgm:prSet/>
      <dgm:spPr/>
      <dgm:t>
        <a:bodyPr/>
        <a:lstStyle/>
        <a:p>
          <a:endParaRPr lang="nl-NL"/>
        </a:p>
      </dgm:t>
    </dgm:pt>
    <dgm:pt modelId="{6EC39152-D921-46A2-BB3B-DFCEDD973EFF}">
      <dgm:prSet phldrT="[Tekst]" custT="1"/>
      <dgm:spPr/>
      <dgm:t>
        <a:bodyPr/>
        <a:lstStyle/>
        <a:p>
          <a:r>
            <a:rPr lang="nl-NL" sz="1200"/>
            <a:t>SO-bedrijf</a:t>
          </a:r>
        </a:p>
      </dgm:t>
    </dgm:pt>
    <dgm:pt modelId="{8667299F-F3D2-413F-9F65-4C4C2DAF6B0E}" type="parTrans" cxnId="{4227A68B-61F5-4127-9F08-D323DC203139}">
      <dgm:prSet/>
      <dgm:spPr/>
      <dgm:t>
        <a:bodyPr/>
        <a:lstStyle/>
        <a:p>
          <a:endParaRPr lang="nl-NL"/>
        </a:p>
      </dgm:t>
    </dgm:pt>
    <dgm:pt modelId="{77D8B5CD-63CC-49CD-93AA-DB5CC096BE2D}" type="sibTrans" cxnId="{4227A68B-61F5-4127-9F08-D323DC203139}">
      <dgm:prSet/>
      <dgm:spPr/>
      <dgm:t>
        <a:bodyPr/>
        <a:lstStyle/>
        <a:p>
          <a:endParaRPr lang="nl-NL"/>
        </a:p>
      </dgm:t>
    </dgm:pt>
    <dgm:pt modelId="{9C06FB69-BAD8-41CE-9414-F823DEB3F314}">
      <dgm:prSet phldrT="[Tekst]" custT="1"/>
      <dgm:spPr/>
      <dgm:t>
        <a:bodyPr/>
        <a:lstStyle/>
        <a:p>
          <a:r>
            <a:rPr lang="nl-NL" sz="1200"/>
            <a:t>Andere gemeen-ten</a:t>
          </a:r>
        </a:p>
      </dgm:t>
    </dgm:pt>
    <dgm:pt modelId="{5960DD75-F848-451F-9FD7-4C0E013D8C1E}" type="parTrans" cxnId="{4D2644B0-C236-47CC-B872-F5B42B9AA474}">
      <dgm:prSet/>
      <dgm:spPr/>
      <dgm:t>
        <a:bodyPr/>
        <a:lstStyle/>
        <a:p>
          <a:endParaRPr lang="nl-NL"/>
        </a:p>
      </dgm:t>
    </dgm:pt>
    <dgm:pt modelId="{04DAC6DB-C9DD-43DF-ABAF-F372343294CB}" type="sibTrans" cxnId="{4D2644B0-C236-47CC-B872-F5B42B9AA474}">
      <dgm:prSet/>
      <dgm:spPr/>
      <dgm:t>
        <a:bodyPr/>
        <a:lstStyle/>
        <a:p>
          <a:endParaRPr lang="nl-NL"/>
        </a:p>
      </dgm:t>
    </dgm:pt>
    <dgm:pt modelId="{D2806AD3-C008-48F9-B283-FDF324EB878D}" type="pres">
      <dgm:prSet presAssocID="{99058E0B-CBF0-4F6E-B157-E62A0722F0E0}" presName="cycleMatrixDiagram" presStyleCnt="0">
        <dgm:presLayoutVars>
          <dgm:chMax val="1"/>
          <dgm:dir/>
          <dgm:animLvl val="lvl"/>
          <dgm:resizeHandles val="exact"/>
        </dgm:presLayoutVars>
      </dgm:prSet>
      <dgm:spPr/>
    </dgm:pt>
    <dgm:pt modelId="{373869E5-AAD7-4632-AA35-CBBC1054A303}" type="pres">
      <dgm:prSet presAssocID="{99058E0B-CBF0-4F6E-B157-E62A0722F0E0}" presName="children" presStyleCnt="0"/>
      <dgm:spPr/>
    </dgm:pt>
    <dgm:pt modelId="{B3561BAC-C0A6-4612-B43A-D58981E81687}" type="pres">
      <dgm:prSet presAssocID="{99058E0B-CBF0-4F6E-B157-E62A0722F0E0}" presName="childPlaceholder" presStyleCnt="0"/>
      <dgm:spPr/>
    </dgm:pt>
    <dgm:pt modelId="{F7A68BDC-AA34-4503-A2CC-0248886DFDF6}" type="pres">
      <dgm:prSet presAssocID="{99058E0B-CBF0-4F6E-B157-E62A0722F0E0}" presName="circle" presStyleCnt="0"/>
      <dgm:spPr/>
    </dgm:pt>
    <dgm:pt modelId="{343D70A2-8EE9-4EFE-BB09-D603D44390D2}" type="pres">
      <dgm:prSet presAssocID="{99058E0B-CBF0-4F6E-B157-E62A0722F0E0}" presName="quadrant1" presStyleLbl="node1" presStyleIdx="0" presStyleCnt="4">
        <dgm:presLayoutVars>
          <dgm:chMax val="1"/>
          <dgm:bulletEnabled val="1"/>
        </dgm:presLayoutVars>
      </dgm:prSet>
      <dgm:spPr/>
    </dgm:pt>
    <dgm:pt modelId="{9DA1EED7-41AA-4FF0-BADB-DAEF8D7D5ADA}" type="pres">
      <dgm:prSet presAssocID="{99058E0B-CBF0-4F6E-B157-E62A0722F0E0}" presName="quadrant2" presStyleLbl="node1" presStyleIdx="1" presStyleCnt="4">
        <dgm:presLayoutVars>
          <dgm:chMax val="1"/>
          <dgm:bulletEnabled val="1"/>
        </dgm:presLayoutVars>
      </dgm:prSet>
      <dgm:spPr/>
    </dgm:pt>
    <dgm:pt modelId="{381DC996-BBAC-4B00-B420-8A69FB1F944C}" type="pres">
      <dgm:prSet presAssocID="{99058E0B-CBF0-4F6E-B157-E62A0722F0E0}" presName="quadrant3" presStyleLbl="node1" presStyleIdx="2" presStyleCnt="4">
        <dgm:presLayoutVars>
          <dgm:chMax val="1"/>
          <dgm:bulletEnabled val="1"/>
        </dgm:presLayoutVars>
      </dgm:prSet>
      <dgm:spPr/>
    </dgm:pt>
    <dgm:pt modelId="{31047681-5AAB-4F9F-ABA4-3A8E4D5D30BC}" type="pres">
      <dgm:prSet presAssocID="{99058E0B-CBF0-4F6E-B157-E62A0722F0E0}" presName="quadrant4" presStyleLbl="node1" presStyleIdx="3" presStyleCnt="4">
        <dgm:presLayoutVars>
          <dgm:chMax val="1"/>
          <dgm:bulletEnabled val="1"/>
        </dgm:presLayoutVars>
      </dgm:prSet>
      <dgm:spPr/>
    </dgm:pt>
    <dgm:pt modelId="{80ACF439-C37B-43FC-87E1-4673D12C9C54}" type="pres">
      <dgm:prSet presAssocID="{99058E0B-CBF0-4F6E-B157-E62A0722F0E0}" presName="quadrantPlaceholder" presStyleCnt="0"/>
      <dgm:spPr/>
    </dgm:pt>
    <dgm:pt modelId="{9E9583E4-EB55-4EB0-A769-80B5B47EC5E2}" type="pres">
      <dgm:prSet presAssocID="{99058E0B-CBF0-4F6E-B157-E62A0722F0E0}" presName="center1" presStyleLbl="fgShp" presStyleIdx="0" presStyleCnt="2"/>
      <dgm:spPr/>
    </dgm:pt>
    <dgm:pt modelId="{A5959DC6-C925-4D8E-B399-A619D3942064}" type="pres">
      <dgm:prSet presAssocID="{99058E0B-CBF0-4F6E-B157-E62A0722F0E0}" presName="center2" presStyleLbl="fgShp" presStyleIdx="1" presStyleCnt="2"/>
      <dgm:spPr/>
    </dgm:pt>
  </dgm:ptLst>
  <dgm:cxnLst>
    <dgm:cxn modelId="{F96AD209-7B9B-4866-83C7-92242372AC13}" srcId="{99058E0B-CBF0-4F6E-B157-E62A0722F0E0}" destId="{508D557E-57C7-4971-836A-825FB9A705DB}" srcOrd="0" destOrd="0" parTransId="{A50CA258-2123-47FB-9204-6A7E09854EEB}" sibTransId="{EAE97FF0-F064-4C8E-9722-1A2AC06FE503}"/>
    <dgm:cxn modelId="{91695E85-5E58-4751-9E24-8E4964356FCE}" type="presOf" srcId="{6EC39152-D921-46A2-BB3B-DFCEDD973EFF}" destId="{381DC996-BBAC-4B00-B420-8A69FB1F944C}" srcOrd="0" destOrd="0" presId="urn:microsoft.com/office/officeart/2005/8/layout/cycle4"/>
    <dgm:cxn modelId="{4A8F4B87-2125-430E-BD08-7B16B96E58E3}" type="presOf" srcId="{88BBB0DE-64DF-424B-8002-CDD97BCC6DCE}" destId="{9DA1EED7-41AA-4FF0-BADB-DAEF8D7D5ADA}" srcOrd="0" destOrd="0" presId="urn:microsoft.com/office/officeart/2005/8/layout/cycle4"/>
    <dgm:cxn modelId="{4227A68B-61F5-4127-9F08-D323DC203139}" srcId="{99058E0B-CBF0-4F6E-B157-E62A0722F0E0}" destId="{6EC39152-D921-46A2-BB3B-DFCEDD973EFF}" srcOrd="2" destOrd="0" parTransId="{8667299F-F3D2-413F-9F65-4C4C2DAF6B0E}" sibTransId="{77D8B5CD-63CC-49CD-93AA-DB5CC096BE2D}"/>
    <dgm:cxn modelId="{AE128895-3E09-409A-9A9E-11E2E1E3404B}" type="presOf" srcId="{508D557E-57C7-4971-836A-825FB9A705DB}" destId="{343D70A2-8EE9-4EFE-BB09-D603D44390D2}" srcOrd="0" destOrd="0" presId="urn:microsoft.com/office/officeart/2005/8/layout/cycle4"/>
    <dgm:cxn modelId="{4D2644B0-C236-47CC-B872-F5B42B9AA474}" srcId="{99058E0B-CBF0-4F6E-B157-E62A0722F0E0}" destId="{9C06FB69-BAD8-41CE-9414-F823DEB3F314}" srcOrd="3" destOrd="0" parTransId="{5960DD75-F848-451F-9FD7-4C0E013D8C1E}" sibTransId="{04DAC6DB-C9DD-43DF-ABAF-F372343294CB}"/>
    <dgm:cxn modelId="{CB1EA9B1-A027-493E-80EC-E44BEC4E1931}" type="presOf" srcId="{99058E0B-CBF0-4F6E-B157-E62A0722F0E0}" destId="{D2806AD3-C008-48F9-B283-FDF324EB878D}" srcOrd="0" destOrd="0" presId="urn:microsoft.com/office/officeart/2005/8/layout/cycle4"/>
    <dgm:cxn modelId="{C88AF7E7-3AFE-415A-A11D-0AFA682E0916}" srcId="{99058E0B-CBF0-4F6E-B157-E62A0722F0E0}" destId="{88BBB0DE-64DF-424B-8002-CDD97BCC6DCE}" srcOrd="1" destOrd="0" parTransId="{222CF518-9356-4002-97A1-073264967019}" sibTransId="{2AC29E91-8BA2-49BA-87FB-9C3951941862}"/>
    <dgm:cxn modelId="{0C5D9BFE-CB5B-4C5F-B924-F82245332702}" type="presOf" srcId="{9C06FB69-BAD8-41CE-9414-F823DEB3F314}" destId="{31047681-5AAB-4F9F-ABA4-3A8E4D5D30BC}" srcOrd="0" destOrd="0" presId="urn:microsoft.com/office/officeart/2005/8/layout/cycle4"/>
    <dgm:cxn modelId="{CD840CD2-4CE8-44DA-84C9-8966D99264DC}" type="presParOf" srcId="{D2806AD3-C008-48F9-B283-FDF324EB878D}" destId="{373869E5-AAD7-4632-AA35-CBBC1054A303}" srcOrd="0" destOrd="0" presId="urn:microsoft.com/office/officeart/2005/8/layout/cycle4"/>
    <dgm:cxn modelId="{99C1F1BA-CE00-458E-9863-2F1C1470EB3B}" type="presParOf" srcId="{373869E5-AAD7-4632-AA35-CBBC1054A303}" destId="{B3561BAC-C0A6-4612-B43A-D58981E81687}" srcOrd="0" destOrd="0" presId="urn:microsoft.com/office/officeart/2005/8/layout/cycle4"/>
    <dgm:cxn modelId="{F4C1EB3A-C489-4ED4-8966-C5CD8FAE852C}" type="presParOf" srcId="{D2806AD3-C008-48F9-B283-FDF324EB878D}" destId="{F7A68BDC-AA34-4503-A2CC-0248886DFDF6}" srcOrd="1" destOrd="0" presId="urn:microsoft.com/office/officeart/2005/8/layout/cycle4"/>
    <dgm:cxn modelId="{8E9366D2-FE16-4A60-B778-770B616ADEE6}" type="presParOf" srcId="{F7A68BDC-AA34-4503-A2CC-0248886DFDF6}" destId="{343D70A2-8EE9-4EFE-BB09-D603D44390D2}" srcOrd="0" destOrd="0" presId="urn:microsoft.com/office/officeart/2005/8/layout/cycle4"/>
    <dgm:cxn modelId="{B2C7EB64-080C-476E-8B57-74C3E699EA81}" type="presParOf" srcId="{F7A68BDC-AA34-4503-A2CC-0248886DFDF6}" destId="{9DA1EED7-41AA-4FF0-BADB-DAEF8D7D5ADA}" srcOrd="1" destOrd="0" presId="urn:microsoft.com/office/officeart/2005/8/layout/cycle4"/>
    <dgm:cxn modelId="{BB665230-795E-4578-AF1C-76EBA7AF5953}" type="presParOf" srcId="{F7A68BDC-AA34-4503-A2CC-0248886DFDF6}" destId="{381DC996-BBAC-4B00-B420-8A69FB1F944C}" srcOrd="2" destOrd="0" presId="urn:microsoft.com/office/officeart/2005/8/layout/cycle4"/>
    <dgm:cxn modelId="{0A702B5F-F749-4A59-833D-870B8D5B1F92}" type="presParOf" srcId="{F7A68BDC-AA34-4503-A2CC-0248886DFDF6}" destId="{31047681-5AAB-4F9F-ABA4-3A8E4D5D30BC}" srcOrd="3" destOrd="0" presId="urn:microsoft.com/office/officeart/2005/8/layout/cycle4"/>
    <dgm:cxn modelId="{6C5E7948-11B1-4305-B742-5DECDF5811E2}" type="presParOf" srcId="{F7A68BDC-AA34-4503-A2CC-0248886DFDF6}" destId="{80ACF439-C37B-43FC-87E1-4673D12C9C54}" srcOrd="4" destOrd="0" presId="urn:microsoft.com/office/officeart/2005/8/layout/cycle4"/>
    <dgm:cxn modelId="{18275D18-5005-46AB-888D-52ADF151EC20}" type="presParOf" srcId="{D2806AD3-C008-48F9-B283-FDF324EB878D}" destId="{9E9583E4-EB55-4EB0-A769-80B5B47EC5E2}" srcOrd="2" destOrd="0" presId="urn:microsoft.com/office/officeart/2005/8/layout/cycle4"/>
    <dgm:cxn modelId="{0E879BE4-0233-4978-8BB8-F9F9F50DF97D}" type="presParOf" srcId="{D2806AD3-C008-48F9-B283-FDF324EB878D}" destId="{A5959DC6-C925-4D8E-B399-A619D3942064}" srcOrd="3" destOrd="0" presId="urn:microsoft.com/office/officeart/2005/8/layout/cycle4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E85143E-41B4-4D96-A758-13A7FDE5DF64}">
      <dsp:nvSpPr>
        <dsp:cNvPr id="0" name=""/>
        <dsp:cNvSpPr/>
      </dsp:nvSpPr>
      <dsp:spPr>
        <a:xfrm>
          <a:off x="1133855" y="219455"/>
          <a:ext cx="2304288" cy="2304288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7940" tIns="27940" rIns="27940" bIns="27940" numCol="1" spcCol="1270" anchor="ctr" anchorCtr="0">
          <a:noAutofit/>
        </a:bodyPr>
        <a:lstStyle/>
        <a:p>
          <a:pPr marL="0" lvl="0" indent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2200" kern="1200"/>
            <a:t>Rijksoverheid</a:t>
          </a:r>
        </a:p>
      </dsp:txBody>
      <dsp:txXfrm>
        <a:off x="1476756" y="562355"/>
        <a:ext cx="1618488" cy="1618488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E85143E-41B4-4D96-A758-13A7FDE5DF64}">
      <dsp:nvSpPr>
        <dsp:cNvPr id="0" name=""/>
        <dsp:cNvSpPr/>
      </dsp:nvSpPr>
      <dsp:spPr>
        <a:xfrm>
          <a:off x="1071326" y="261368"/>
          <a:ext cx="2304288" cy="2304288"/>
        </a:xfrm>
        <a:prstGeom prst="pie">
          <a:avLst>
            <a:gd name="adj1" fmla="val 16200000"/>
            <a:gd name="adj2" fmla="val 18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240" tIns="15240" rIns="1524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1200" kern="1200"/>
            <a:t>Kandidaten</a:t>
          </a:r>
        </a:p>
      </dsp:txBody>
      <dsp:txXfrm>
        <a:off x="2324145" y="686564"/>
        <a:ext cx="781812" cy="768096"/>
      </dsp:txXfrm>
    </dsp:sp>
    <dsp:sp modelId="{ECC309E5-B4F4-4F85-84E5-BD481B2D1719}">
      <dsp:nvSpPr>
        <dsp:cNvPr id="0" name=""/>
        <dsp:cNvSpPr/>
      </dsp:nvSpPr>
      <dsp:spPr>
        <a:xfrm>
          <a:off x="1074465" y="253745"/>
          <a:ext cx="2304288" cy="2304288"/>
        </a:xfrm>
        <a:prstGeom prst="pie">
          <a:avLst>
            <a:gd name="adj1" fmla="val 1800000"/>
            <a:gd name="adj2" fmla="val 90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240" tIns="15240" rIns="1524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1200" kern="1200"/>
            <a:t>Werkgevers</a:t>
          </a:r>
        </a:p>
      </dsp:txBody>
      <dsp:txXfrm>
        <a:off x="1705401" y="1707642"/>
        <a:ext cx="1042416" cy="713232"/>
      </dsp:txXfrm>
    </dsp:sp>
    <dsp:sp modelId="{D65C71F7-B14E-4B67-9CC5-A52BADB94B99}">
      <dsp:nvSpPr>
        <dsp:cNvPr id="0" name=""/>
        <dsp:cNvSpPr/>
      </dsp:nvSpPr>
      <dsp:spPr>
        <a:xfrm>
          <a:off x="1074465" y="253745"/>
          <a:ext cx="2304288" cy="2304288"/>
        </a:xfrm>
        <a:prstGeom prst="pie">
          <a:avLst>
            <a:gd name="adj1" fmla="val 90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240" tIns="15240" rIns="1524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1200" kern="1200"/>
            <a:t>Andere partijen</a:t>
          </a:r>
        </a:p>
      </dsp:txBody>
      <dsp:txXfrm>
        <a:off x="1321353" y="706373"/>
        <a:ext cx="781812" cy="768096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3D70A2-8EE9-4EFE-BB09-D603D44390D2}">
      <dsp:nvSpPr>
        <dsp:cNvPr id="0" name=""/>
        <dsp:cNvSpPr/>
      </dsp:nvSpPr>
      <dsp:spPr>
        <a:xfrm>
          <a:off x="1106351" y="153384"/>
          <a:ext cx="1165180" cy="1165180"/>
        </a:xfrm>
        <a:prstGeom prst="pieWedg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85344" rIns="85344" bIns="85344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1200" kern="1200"/>
            <a:t>Afdeling W&amp;I</a:t>
          </a:r>
        </a:p>
      </dsp:txBody>
      <dsp:txXfrm>
        <a:off x="1447624" y="494657"/>
        <a:ext cx="823907" cy="823907"/>
      </dsp:txXfrm>
    </dsp:sp>
    <dsp:sp modelId="{9DA1EED7-41AA-4FF0-BADB-DAEF8D7D5ADA}">
      <dsp:nvSpPr>
        <dsp:cNvPr id="0" name=""/>
        <dsp:cNvSpPr/>
      </dsp:nvSpPr>
      <dsp:spPr>
        <a:xfrm rot="5400000">
          <a:off x="2325350" y="153384"/>
          <a:ext cx="1165180" cy="1165180"/>
        </a:xfrm>
        <a:prstGeom prst="pieWedg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85344" rIns="85344" bIns="85344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1200" kern="1200"/>
            <a:t>Andere afdelingen</a:t>
          </a:r>
        </a:p>
      </dsp:txBody>
      <dsp:txXfrm rot="-5400000">
        <a:off x="2325350" y="494657"/>
        <a:ext cx="823907" cy="823907"/>
      </dsp:txXfrm>
    </dsp:sp>
    <dsp:sp modelId="{381DC996-BBAC-4B00-B420-8A69FB1F944C}">
      <dsp:nvSpPr>
        <dsp:cNvPr id="0" name=""/>
        <dsp:cNvSpPr/>
      </dsp:nvSpPr>
      <dsp:spPr>
        <a:xfrm rot="10800000">
          <a:off x="2325350" y="1372383"/>
          <a:ext cx="1165180" cy="1165180"/>
        </a:xfrm>
        <a:prstGeom prst="pieWedg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85344" rIns="85344" bIns="85344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1200" kern="1200"/>
            <a:t>SO-bedrijf</a:t>
          </a:r>
        </a:p>
      </dsp:txBody>
      <dsp:txXfrm rot="10800000">
        <a:off x="2325350" y="1372383"/>
        <a:ext cx="823907" cy="823907"/>
      </dsp:txXfrm>
    </dsp:sp>
    <dsp:sp modelId="{31047681-5AAB-4F9F-ABA4-3A8E4D5D30BC}">
      <dsp:nvSpPr>
        <dsp:cNvPr id="0" name=""/>
        <dsp:cNvSpPr/>
      </dsp:nvSpPr>
      <dsp:spPr>
        <a:xfrm rot="16200000">
          <a:off x="1106351" y="1372383"/>
          <a:ext cx="1165180" cy="1165180"/>
        </a:xfrm>
        <a:prstGeom prst="pieWedg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85344" rIns="85344" bIns="85344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1200" kern="1200"/>
            <a:t>Andere gemeen-ten</a:t>
          </a:r>
        </a:p>
      </dsp:txBody>
      <dsp:txXfrm rot="5400000">
        <a:off x="1447624" y="1372383"/>
        <a:ext cx="823907" cy="823907"/>
      </dsp:txXfrm>
    </dsp:sp>
    <dsp:sp modelId="{9E9583E4-EB55-4EB0-A769-80B5B47EC5E2}">
      <dsp:nvSpPr>
        <dsp:cNvPr id="0" name=""/>
        <dsp:cNvSpPr/>
      </dsp:nvSpPr>
      <dsp:spPr>
        <a:xfrm>
          <a:off x="2097292" y="1103288"/>
          <a:ext cx="402296" cy="349823"/>
        </a:xfrm>
        <a:prstGeom prst="circularArrow">
          <a:avLst/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A5959DC6-C925-4D8E-B399-A619D3942064}">
      <dsp:nvSpPr>
        <dsp:cNvPr id="0" name=""/>
        <dsp:cNvSpPr/>
      </dsp:nvSpPr>
      <dsp:spPr>
        <a:xfrm rot="10800000">
          <a:off x="2097292" y="1237836"/>
          <a:ext cx="402296" cy="349823"/>
        </a:xfrm>
        <a:prstGeom prst="circularArrow">
          <a:avLst/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art3">
  <dgm:title val=""/>
  <dgm:desc val=""/>
  <dgm:catLst>
    <dgm:cat type="relationship" pri="27000"/>
    <dgm:cat type="cycle" pri="8000"/>
  </dgm:catLst>
  <dgm:sampData useDef="1">
    <dgm:dataModel>
      <dgm:ptLst/>
      <dgm:bg/>
      <dgm:whole/>
    </dgm:dataModel>
  </dgm:sampData>
  <dgm:styleData useDef="1">
    <dgm:dataModel>
      <dgm:ptLst/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compositeShape">
    <dgm:varLst>
      <dgm:chMax val="7"/>
      <dgm:dir/>
      <dgm:resizeHandles val="exact"/>
    </dgm:varLst>
    <dgm:alg type="composite">
      <dgm:param type="horzAlign" val="ctr"/>
      <dgm:param type="vertAlign" val="mid"/>
      <dgm:param type="ar" val="1"/>
    </dgm:alg>
    <dgm:presOf/>
    <dgm:shape xmlns:r="http://schemas.openxmlformats.org/officeDocument/2006/relationships" r:blip="">
      <dgm:adjLst/>
    </dgm:shape>
    <dgm:choose name="Name0">
      <dgm:if name="Name1" axis="ch" ptType="node" func="cnt" op="equ" val="1">
        <dgm:constrLst>
          <dgm:constr type="l" for="ch" forName="wedge1" refType="w" fact="0.08"/>
          <dgm:constr type="t" for="ch" forName="wedge1" refType="w" fact="0.08"/>
          <dgm:constr type="w" for="ch" forName="wedge1" refType="w" fact="0.84"/>
          <dgm:constr type="h" for="ch" forName="wedge1" refType="h" fact="0.84"/>
          <dgm:constr type="l" for="ch" forName="wedge1Tx" refType="w" fact="0.205"/>
          <dgm:constr type="t" for="ch" forName="wedge1Tx" refType="h" fact="0.205"/>
          <dgm:constr type="w" for="ch" forName="wedge1Tx" refType="w" fact="0.59"/>
          <dgm:constr type="h" for="ch" forName="wedge1Tx" refType="h" fact="0.59"/>
          <dgm:constr type="primFontSz" for="ch" ptType="node" op="equ"/>
        </dgm:constrLst>
      </dgm:if>
      <dgm:if name="Name2" axis="ch" ptType="node" func="cnt" op="equ" val="2">
        <dgm:constrLst>
          <dgm:constr type="l" for="ch" forName="wedge1" refType="w" fact="0.1"/>
          <dgm:constr type="t" for="ch" forName="wedge1" refType="w" fact="0.08"/>
          <dgm:constr type="w" for="ch" forName="wedge1" refType="w" fact="0.84"/>
          <dgm:constr type="h" for="ch" forName="wedge1" refType="h" fact="0.84"/>
          <dgm:constr type="l" for="ch" forName="wedge1Tx" refType="w" fact="0.52"/>
          <dgm:constr type="t" for="ch" forName="wedge1Tx" refType="h" fact="0.205"/>
          <dgm:constr type="w" for="ch" forName="wedge1Tx" refType="w" fact="0.295"/>
          <dgm:constr type="h" for="ch" forName="wedge1Tx" refType="h" fact="0.59"/>
          <dgm:constr type="l" for="ch" forName="wedge2" refType="w" fact="0.08"/>
          <dgm:constr type="t" for="ch" forName="wedge2" refType="w" fact="0.08"/>
          <dgm:constr type="w" for="ch" forName="wedge2" refType="w" fact="0.84"/>
          <dgm:constr type="h" for="ch" forName="wedge2" refType="h" fact="0.84"/>
          <dgm:constr type="l" for="ch" forName="wedge2Tx" refType="w" fact="0.2"/>
          <dgm:constr type="t" for="ch" forName="wedge2Tx" refType="h" fact="0.205"/>
          <dgm:constr type="w" for="ch" forName="wedge2Tx" refType="w" fact="0.295"/>
          <dgm:constr type="h" for="ch" forName="wedge2Tx" refType="h" fact="0.59"/>
          <dgm:constr type="primFontSz" for="ch" ptType="node" op="equ"/>
        </dgm:constrLst>
      </dgm:if>
      <dgm:if name="Name3" axis="ch" ptType="node" func="cnt" op="equ" val="3">
        <dgm:choose name="Name4">
          <dgm:if name="Name5" func="var" arg="dir" op="equ" val="norm">
            <dgm:constrLst>
              <dgm:constr type="l" for="ch" forName="wedge1" refType="w" fact="0.1233"/>
              <dgm:constr type="t" for="ch" forName="wedge1" refType="w" fact="0.055"/>
              <dgm:constr type="w" for="ch" forName="wedge1" refType="w" fact="0.84"/>
              <dgm:constr type="h" for="ch" forName="wedge1" refType="h" fact="0.84"/>
              <dgm:constr type="l" for="ch" forName="wedge1Tx" refType="w" fact="0.58"/>
              <dgm:constr type="t" for="ch" forName="wedge1Tx" refType="h" fact="0.21"/>
              <dgm:constr type="w" for="ch" forName="wedge1Tx" refType="w" fact="0.285"/>
              <dgm:constr type="h" for="ch" forName="wedge1Tx" refType="h" fact="0.2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31"/>
              <dgm:constr type="t" for="ch" forName="wedge2Tx" refType="h" fact="0.61"/>
              <dgm:constr type="w" for="ch" forName="wedge2Tx" refType="w" fact="0.38"/>
              <dgm:constr type="h" for="ch" forName="wedge2Tx" refType="h" fact="0.26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17"/>
              <dgm:constr type="t" for="ch" forName="wedge3Tx" refType="h" fact="0.245"/>
              <dgm:constr type="w" for="ch" forName="wedge3Tx" refType="w" fact="0.285"/>
              <dgm:constr type="h" for="ch" forName="wedge3Tx" refType="h" fact="0.28"/>
              <dgm:constr type="primFontSz" for="ch" ptType="node" op="equ"/>
            </dgm:constrLst>
          </dgm:if>
          <dgm:else name="Name6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45"/>
              <dgm:constr type="t" for="ch" forName="wedge1Tx" refType="h" fact="0.245"/>
              <dgm:constr type="w" for="ch" forName="wedge1Tx" refType="w" fact="0.285"/>
              <dgm:constr type="h" for="ch" forName="wedge1Tx" refType="h" fact="0.2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31"/>
              <dgm:constr type="t" for="ch" forName="wedge2Tx" refType="h" fact="0.61"/>
              <dgm:constr type="w" for="ch" forName="wedge2Tx" refType="w" fact="0.38"/>
              <dgm:constr type="h" for="ch" forName="wedge2Tx" refType="h" fact="0.26"/>
              <dgm:constr type="l" for="ch" forName="wedge3" refType="w" fact="0.0367"/>
              <dgm:constr type="t" for="ch" forName="wedge3" refType="w" fact="0.055"/>
              <dgm:constr type="w" for="ch" forName="wedge3" refType="w" fact="0.84"/>
              <dgm:constr type="h" for="ch" forName="wedge3" refType="h" fact="0.84"/>
              <dgm:constr type="l" for="ch" forName="wedge3Tx" refType="w" fact="0.14"/>
              <dgm:constr type="t" for="ch" forName="wedge3Tx" refType="h" fact="0.21"/>
              <dgm:constr type="w" for="ch" forName="wedge3Tx" refType="w" fact="0.285"/>
              <dgm:constr type="h" for="ch" forName="wedge3Tx" refType="h" fact="0.28"/>
              <dgm:constr type="primFontSz" for="ch" ptType="node" op="equ"/>
            </dgm:constrLst>
          </dgm:else>
        </dgm:choose>
      </dgm:if>
      <dgm:if name="Name7" axis="ch" ptType="node" func="cnt" op="equ" val="4">
        <dgm:choose name="Name8">
          <dgm:if name="Name9" func="var" arg="dir" op="equ" val="norm">
            <dgm:constrLst>
              <dgm:constr type="l" for="ch" forName="wedge1" refType="w" fact="0.1154"/>
              <dgm:constr type="t" for="ch" forName="wedge1" refType="w" fact="0.0446"/>
              <dgm:constr type="w" for="ch" forName="wedge1" refType="w" fact="0.84"/>
              <dgm:constr type="h" for="ch" forName="wedge1" refType="h" fact="0.84"/>
              <dgm:constr type="l" for="ch" forName="wedge1Tx" refType="w" fact="0.545"/>
              <dgm:constr type="t" for="ch" forName="wedge1Tx" refType="h" fact="0.2"/>
              <dgm:constr type="w" for="ch" forName="wedge1Tx" refType="w" fact="0.31"/>
              <dgm:constr type="h" for="ch" forName="wedge1Tx" refType="h" fact="0.2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515"/>
              <dgm:constr type="t" for="ch" forName="wedge2Tx" refType="h" fact="0.515"/>
              <dgm:constr type="w" for="ch" forName="wedge2Tx" refType="w" fact="0.31"/>
              <dgm:constr type="h" for="ch" forName="wedge2Tx" refType="h" fact="0.2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175"/>
              <dgm:constr type="t" for="ch" forName="wedge3Tx" refType="h" fact="0.515"/>
              <dgm:constr type="w" for="ch" forName="wedge3Tx" refType="w" fact="0.31"/>
              <dgm:constr type="h" for="ch" forName="wedge3Tx" refType="h" fact="0.25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175"/>
              <dgm:constr type="t" for="ch" forName="wedge4Tx" refType="h" fact="0.235"/>
              <dgm:constr type="w" for="ch" forName="wedge4Tx" refType="w" fact="0.31"/>
              <dgm:constr type="h" for="ch" forName="wedge4Tx" refType="h" fact="0.25"/>
              <dgm:constr type="primFontSz" for="ch" ptType="node" op="equ"/>
            </dgm:constrLst>
          </dgm:if>
          <dgm:else name="Name10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15"/>
              <dgm:constr type="t" for="ch" forName="wedge1Tx" refType="h" fact="0.235"/>
              <dgm:constr type="w" for="ch" forName="wedge1Tx" refType="w" fact="0.31"/>
              <dgm:constr type="h" for="ch" forName="wedge1Tx" refType="h" fact="0.2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515"/>
              <dgm:constr type="t" for="ch" forName="wedge2Tx" refType="h" fact="0.515"/>
              <dgm:constr type="w" for="ch" forName="wedge2Tx" refType="w" fact="0.31"/>
              <dgm:constr type="h" for="ch" forName="wedge2Tx" refType="h" fact="0.2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175"/>
              <dgm:constr type="t" for="ch" forName="wedge3Tx" refType="h" fact="0.515"/>
              <dgm:constr type="w" for="ch" forName="wedge3Tx" refType="w" fact="0.31"/>
              <dgm:constr type="h" for="ch" forName="wedge3Tx" refType="h" fact="0.25"/>
              <dgm:constr type="l" for="ch" forName="wedge4" refType="w" fact="0.0446"/>
              <dgm:constr type="t" for="ch" forName="wedge4" refType="h" fact="0.0446"/>
              <dgm:constr type="w" for="ch" forName="wedge4" refType="w" fact="0.84"/>
              <dgm:constr type="h" for="ch" forName="wedge4" refType="h" fact="0.84"/>
              <dgm:constr type="l" for="ch" forName="wedge4Tx" refType="w" fact="0.145"/>
              <dgm:constr type="t" for="ch" forName="wedge4Tx" refType="h" fact="0.2"/>
              <dgm:constr type="w" for="ch" forName="wedge4Tx" refType="w" fact="0.31"/>
              <dgm:constr type="h" for="ch" forName="wedge4Tx" refType="h" fact="0.25"/>
              <dgm:constr type="primFontSz" for="ch" ptType="node" op="equ"/>
            </dgm:constrLst>
          </dgm:else>
        </dgm:choose>
      </dgm:if>
      <dgm:if name="Name11" axis="ch" ptType="node" func="cnt" op="equ" val="5">
        <dgm:choose name="Name12">
          <dgm:if name="Name13" func="var" arg="dir" op="equ" val="norm">
            <dgm:constrLst>
              <dgm:constr type="l" for="ch" forName="wedge1" refType="w" fact="0.1094"/>
              <dgm:constr type="t" for="ch" forName="wedge1" refType="w" fact="0.0395"/>
              <dgm:constr type="w" for="ch" forName="wedge1" refType="w" fact="0.84"/>
              <dgm:constr type="h" for="ch" forName="wedge1" refType="h" fact="0.84"/>
              <dgm:constr type="l" for="ch" forName="wedge1Tx" refType="w" fact="0.54"/>
              <dgm:constr type="t" for="ch" forName="wedge1Tx" refType="h" fact="0.165"/>
              <dgm:constr type="w" for="ch" forName="wedge1Tx" refType="w" fact="0.285"/>
              <dgm:constr type="h" for="ch" forName="wedge1Tx" refType="h" fact="0.19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29"/>
              <dgm:constr type="t" for="ch" forName="wedge2Tx" refType="h" fact="0.46"/>
              <dgm:constr type="w" for="ch" forName="wedge2Tx" refType="w" fact="0.25"/>
              <dgm:constr type="h" for="ch" forName="wedge2Tx" refType="h" fact="0.211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35"/>
              <dgm:constr type="t" for="ch" forName="wedge3Tx" refType="h" fact="0.71"/>
              <dgm:constr type="w" for="ch" forName="wedge3Tx" refType="w" fact="0.3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12"/>
              <dgm:constr type="t" for="ch" forName="wedge4Tx" refType="h" fact="0.46"/>
              <dgm:constr type="w" for="ch" forName="wedge4Tx" refType="w" fact="0.25"/>
              <dgm:constr type="h" for="ch" forName="wedge4Tx" refType="h" fact="0.211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2025"/>
              <dgm:constr type="t" for="ch" forName="wedge5Tx" refType="h" fact="0.208"/>
              <dgm:constr type="w" for="ch" forName="wedge5Tx" refType="w" fact="0.285"/>
              <dgm:constr type="h" for="ch" forName="wedge5Tx" refType="h" fact="0.195"/>
              <dgm:constr type="primFontSz" for="ch" ptType="node" op="equ"/>
            </dgm:constrLst>
          </dgm:if>
          <dgm:else name="Name14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1"/>
              <dgm:constr type="t" for="ch" forName="wedge1Tx" refType="h" fact="0.208"/>
              <dgm:constr type="w" for="ch" forName="wedge1Tx" refType="w" fact="0.285"/>
              <dgm:constr type="h" for="ch" forName="wedge1Tx" refType="h" fact="0.19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29"/>
              <dgm:constr type="t" for="ch" forName="wedge2Tx" refType="h" fact="0.46"/>
              <dgm:constr type="w" for="ch" forName="wedge2Tx" refType="w" fact="0.25"/>
              <dgm:constr type="h" for="ch" forName="wedge2Tx" refType="h" fact="0.211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35"/>
              <dgm:constr type="t" for="ch" forName="wedge3Tx" refType="h" fact="0.71"/>
              <dgm:constr type="w" for="ch" forName="wedge3Tx" refType="w" fact="0.3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12"/>
              <dgm:constr type="t" for="ch" forName="wedge4Tx" refType="h" fact="0.46"/>
              <dgm:constr type="w" for="ch" forName="wedge4Tx" refType="w" fact="0.25"/>
              <dgm:constr type="h" for="ch" forName="wedge4Tx" refType="h" fact="0.211"/>
              <dgm:constr type="l" for="ch" forName="wedge5" refType="w" fact="0.0506"/>
              <dgm:constr type="t" for="ch" forName="wedge5" refType="h" fact="0.0395"/>
              <dgm:constr type="w" for="ch" forName="wedge5" refType="w" fact="0.84"/>
              <dgm:constr type="h" for="ch" forName="wedge5" refType="h" fact="0.84"/>
              <dgm:constr type="l" for="ch" forName="wedge5Tx" refType="w" fact="0.18"/>
              <dgm:constr type="t" for="ch" forName="wedge5Tx" refType="h" fact="0.165"/>
              <dgm:constr type="w" for="ch" forName="wedge5Tx" refType="w" fact="0.285"/>
              <dgm:constr type="h" for="ch" forName="wedge5Tx" refType="h" fact="0.195"/>
              <dgm:constr type="primFontSz" for="ch" ptType="node" op="equ"/>
            </dgm:constrLst>
          </dgm:else>
        </dgm:choose>
      </dgm:if>
      <dgm:if name="Name15" axis="ch" ptType="node" func="cnt" op="equ" val="6">
        <dgm:choose name="Name16">
          <dgm:if name="Name17" func="var" arg="dir" op="equ" val="norm">
            <dgm:constrLst>
              <dgm:constr type="l" for="ch" forName="wedge1" refType="w" fact="0.105"/>
              <dgm:constr type="t" for="ch" forName="wedge1" refType="w" fact="0.0367"/>
              <dgm:constr type="w" for="ch" forName="wedge1" refType="w" fact="0.84"/>
              <dgm:constr type="h" for="ch" forName="wedge1" refType="h" fact="0.84"/>
              <dgm:constr type="l" for="ch" forName="wedge1Tx" refType="w" fact="0.534"/>
              <dgm:constr type="t" for="ch" forName="wedge1Tx" refType="h" fact="0.1267"/>
              <dgm:constr type="w" for="ch" forName="wedge1Tx" refType="w" fact="0.245"/>
              <dgm:constr type="h" for="ch" forName="wedge1Tx" refType="h" fact="0.1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415"/>
              <dgm:constr type="w" for="ch" forName="wedge2Tx" refType="w" fact="0.254"/>
              <dgm:constr type="h" for="ch" forName="wedge2Tx" refType="h" fact="0.17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509"/>
              <dgm:constr type="t" for="ch" forName="wedge3Tx" refType="h" fact="0.65"/>
              <dgm:constr type="w" for="ch" forName="wedge3Tx" refType="w" fact="0.245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246"/>
              <dgm:constr type="t" for="ch" forName="wedge4Tx" refType="h" fact="0.65"/>
              <dgm:constr type="w" for="ch" forName="wedge4Tx" refType="w" fact="0.245"/>
              <dgm:constr type="h" for="ch" forName="wedge4Tx" refType="h" fact="0.18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093"/>
              <dgm:constr type="t" for="ch" forName="wedge5Tx" refType="h" fact="0.415"/>
              <dgm:constr type="w" for="ch" forName="wedge5Tx" refType="w" fact="0.254"/>
              <dgm:constr type="h" for="ch" forName="wedge5Tx" refType="h" fact="0.17"/>
              <dgm:constr type="l" for="ch" forName="wedge6" refType="w" fact="0.08"/>
              <dgm:constr type="t" for="ch" forName="wedge6" refType="h" fact="0.08"/>
              <dgm:constr type="w" for="ch" forName="wedge6" refType="w" fact="0.84"/>
              <dgm:constr type="h" for="ch" forName="wedge6" refType="h" fact="0.84"/>
              <dgm:constr type="l" for="ch" forName="wedge6Tx" refType="w" fact="0.246"/>
              <dgm:constr type="t" for="ch" forName="wedge6Tx" refType="h" fact="0.17"/>
              <dgm:constr type="w" for="ch" forName="wedge6Tx" refType="w" fact="0.245"/>
              <dgm:constr type="h" for="ch" forName="wedge6Tx" refType="h" fact="0.18"/>
              <dgm:constr type="primFontSz" for="ch" ptType="node" op="equ"/>
            </dgm:constrLst>
          </dgm:if>
          <dgm:else name="Name18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09"/>
              <dgm:constr type="t" for="ch" forName="wedge1Tx" refType="h" fact="0.17"/>
              <dgm:constr type="w" for="ch" forName="wedge1Tx" refType="w" fact="0.245"/>
              <dgm:constr type="h" for="ch" forName="wedge1Tx" refType="h" fact="0.1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415"/>
              <dgm:constr type="w" for="ch" forName="wedge2Tx" refType="w" fact="0.254"/>
              <dgm:constr type="h" for="ch" forName="wedge2Tx" refType="h" fact="0.17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509"/>
              <dgm:constr type="t" for="ch" forName="wedge3Tx" refType="h" fact="0.65"/>
              <dgm:constr type="w" for="ch" forName="wedge3Tx" refType="w" fact="0.245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246"/>
              <dgm:constr type="t" for="ch" forName="wedge4Tx" refType="h" fact="0.65"/>
              <dgm:constr type="w" for="ch" forName="wedge4Tx" refType="w" fact="0.245"/>
              <dgm:constr type="h" for="ch" forName="wedge4Tx" refType="h" fact="0.18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093"/>
              <dgm:constr type="t" for="ch" forName="wedge5Tx" refType="h" fact="0.415"/>
              <dgm:constr type="w" for="ch" forName="wedge5Tx" refType="w" fact="0.254"/>
              <dgm:constr type="h" for="ch" forName="wedge5Tx" refType="h" fact="0.17"/>
              <dgm:constr type="l" for="ch" forName="wedge6" refType="w" fact="0.055"/>
              <dgm:constr type="t" for="ch" forName="wedge6" refType="h" fact="0.0367"/>
              <dgm:constr type="w" for="ch" forName="wedge6" refType="w" fact="0.84"/>
              <dgm:constr type="h" for="ch" forName="wedge6" refType="h" fact="0.84"/>
              <dgm:constr type="l" for="ch" forName="wedge6Tx" refType="w" fact="0.221"/>
              <dgm:constr type="t" for="ch" forName="wedge6Tx" refType="h" fact="0.1267"/>
              <dgm:constr type="w" for="ch" forName="wedge6Tx" refType="w" fact="0.245"/>
              <dgm:constr type="h" for="ch" forName="wedge6Tx" refType="h" fact="0.18"/>
              <dgm:constr type="primFontSz" for="ch" ptType="node" op="equ"/>
            </dgm:constrLst>
          </dgm:else>
        </dgm:choose>
      </dgm:if>
      <dgm:else name="Name19">
        <dgm:choose name="Name20">
          <dgm:if name="Name21" func="var" arg="dir" op="equ" val="norm">
            <dgm:constrLst>
              <dgm:constr type="l" for="ch" forName="wedge1" refType="w" fact="0.1017"/>
              <dgm:constr type="t" for="ch" forName="wedge1" refType="w" fact="0.035"/>
              <dgm:constr type="w" for="ch" forName="wedge1" refType="w" fact="0.84"/>
              <dgm:constr type="h" for="ch" forName="wedge1" refType="h" fact="0.84"/>
              <dgm:constr type="l" for="ch" forName="wedge1Tx" refType="w" fact="0.53"/>
              <dgm:constr type="t" for="ch" forName="wedge1Tx" refType="h" fact="0.115"/>
              <dgm:constr type="w" for="ch" forName="wedge1Tx" refType="w" fact="0.23"/>
              <dgm:constr type="h" for="ch" forName="wedge1Tx" refType="h" fact="0.14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38"/>
              <dgm:constr type="w" for="ch" forName="wedge2Tx" refType="w" fact="0.244"/>
              <dgm:constr type="h" for="ch" forName="wedge2Tx" refType="h" fact="0.15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62"/>
              <dgm:constr type="t" for="ch" forName="wedge3Tx" refType="h" fact="0.58"/>
              <dgm:constr type="w" for="ch" forName="wedge3Tx" refType="w" fact="0.22"/>
              <dgm:constr type="h" for="ch" forName="wedge3Tx" refType="h" fact="0.16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3875"/>
              <dgm:constr type="t" for="ch" forName="wedge4Tx" refType="h" fact="0.74"/>
              <dgm:constr type="w" for="ch" forName="wedge4Tx" refType="w" fact="0.225"/>
              <dgm:constr type="h" for="ch" forName="wedge4Tx" refType="h" fact="0.16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16"/>
              <dgm:constr type="t" for="ch" forName="wedge5Tx" refType="h" fact="0.58"/>
              <dgm:constr type="w" for="ch" forName="wedge5Tx" refType="w" fact="0.22"/>
              <dgm:constr type="h" for="ch" forName="wedge5Tx" refType="h" fact="0.16"/>
              <dgm:constr type="l" for="ch" forName="wedge6" refType="w" fact="0.08"/>
              <dgm:constr type="t" for="ch" forName="wedge6" refType="h" fact="0.08"/>
              <dgm:constr type="w" for="ch" forName="wedge6" refType="w" fact="0.84"/>
              <dgm:constr type="h" for="ch" forName="wedge6" refType="h" fact="0.84"/>
              <dgm:constr type="l" for="ch" forName="wedge6Tx" refType="w" fact="0.101"/>
              <dgm:constr type="t" for="ch" forName="wedge6Tx" refType="h" fact="0.38"/>
              <dgm:constr type="w" for="ch" forName="wedge6Tx" refType="w" fact="0.244"/>
              <dgm:constr type="h" for="ch" forName="wedge6Tx" refType="h" fact="0.155"/>
              <dgm:constr type="l" for="ch" forName="wedge7" refType="w" fact="0.08"/>
              <dgm:constr type="t" for="ch" forName="wedge7" refType="h" fact="0.08"/>
              <dgm:constr type="w" for="ch" forName="wedge7" refType="w" fact="0.84"/>
              <dgm:constr type="h" for="ch" forName="wedge7" refType="h" fact="0.84"/>
              <dgm:constr type="l" for="ch" forName="wedge7Tx" refType="w" fact="0.262"/>
              <dgm:constr type="t" for="ch" forName="wedge7Tx" refType="h" fact="0.16"/>
              <dgm:constr type="w" for="ch" forName="wedge7Tx" refType="w" fact="0.23"/>
              <dgm:constr type="h" for="ch" forName="wedge7Tx" refType="h" fact="0.145"/>
              <dgm:constr type="primFontSz" for="ch" ptType="node" op="equ"/>
            </dgm:constrLst>
          </dgm:if>
          <dgm:else name="Name22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08"/>
              <dgm:constr type="t" for="ch" forName="wedge1Tx" refType="h" fact="0.16"/>
              <dgm:constr type="w" for="ch" forName="wedge1Tx" refType="w" fact="0.23"/>
              <dgm:constr type="h" for="ch" forName="wedge1Tx" refType="h" fact="0.14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38"/>
              <dgm:constr type="w" for="ch" forName="wedge2Tx" refType="w" fact="0.244"/>
              <dgm:constr type="h" for="ch" forName="wedge2Tx" refType="h" fact="0.15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62"/>
              <dgm:constr type="t" for="ch" forName="wedge3Tx" refType="h" fact="0.58"/>
              <dgm:constr type="w" for="ch" forName="wedge3Tx" refType="w" fact="0.22"/>
              <dgm:constr type="h" for="ch" forName="wedge3Tx" refType="h" fact="0.16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3875"/>
              <dgm:constr type="t" for="ch" forName="wedge4Tx" refType="h" fact="0.74"/>
              <dgm:constr type="w" for="ch" forName="wedge4Tx" refType="w" fact="0.225"/>
              <dgm:constr type="h" for="ch" forName="wedge4Tx" refType="h" fact="0.16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16"/>
              <dgm:constr type="t" for="ch" forName="wedge5Tx" refType="h" fact="0.58"/>
              <dgm:constr type="w" for="ch" forName="wedge5Tx" refType="w" fact="0.22"/>
              <dgm:constr type="h" for="ch" forName="wedge5Tx" refType="h" fact="0.16"/>
              <dgm:constr type="l" for="ch" forName="wedge6" refType="w" fact="0.08"/>
              <dgm:constr type="t" for="ch" forName="wedge6" refType="h" fact="0.08"/>
              <dgm:constr type="w" for="ch" forName="wedge6" refType="w" fact="0.84"/>
              <dgm:constr type="h" for="ch" forName="wedge6" refType="h" fact="0.84"/>
              <dgm:constr type="l" for="ch" forName="wedge6Tx" refType="w" fact="0.101"/>
              <dgm:constr type="t" for="ch" forName="wedge6Tx" refType="h" fact="0.38"/>
              <dgm:constr type="w" for="ch" forName="wedge6Tx" refType="w" fact="0.244"/>
              <dgm:constr type="h" for="ch" forName="wedge6Tx" refType="h" fact="0.155"/>
              <dgm:constr type="l" for="ch" forName="wedge7" refType="w" fact="0.0583"/>
              <dgm:constr type="t" for="ch" forName="wedge7" refType="h" fact="0.035"/>
              <dgm:constr type="w" for="ch" forName="wedge7" refType="w" fact="0.84"/>
              <dgm:constr type="h" for="ch" forName="wedge7" refType="h" fact="0.84"/>
              <dgm:constr type="l" for="ch" forName="wedge7Tx" refType="w" fact="0.2403"/>
              <dgm:constr type="t" for="ch" forName="wedge7Tx" refType="h" fact="0.115"/>
              <dgm:constr type="w" for="ch" forName="wedge7Tx" refType="w" fact="0.23"/>
              <dgm:constr type="h" for="ch" forName="wedge7Tx" refType="h" fact="0.145"/>
              <dgm:constr type="primFontSz" for="ch" ptType="node" op="equ"/>
            </dgm:constrLst>
          </dgm:else>
        </dgm:choose>
      </dgm:else>
    </dgm:choose>
    <dgm:ruleLst/>
    <dgm:choose name="Name23">
      <dgm:if name="Name24" axis="ch" ptType="node" func="cnt" op="gte" val="1">
        <dgm:layoutNode name="wedge1">
          <dgm:alg type="sp"/>
          <dgm:choose name="Name25">
            <dgm:if name="Name26" axis="ch" ptType="node" func="cnt" op="equ" val="1">
              <dgm:shape xmlns:r="http://schemas.openxmlformats.org/officeDocument/2006/relationships" type="ellipse" r:blip="">
                <dgm:adjLst/>
              </dgm:shape>
            </dgm:if>
            <dgm:if name="Name27" axis="ch" ptType="node" func="cnt" op="equ" val="2">
              <dgm:shape xmlns:r="http://schemas.openxmlformats.org/officeDocument/2006/relationships" type="pie" r:blip="">
                <dgm:adjLst>
                  <dgm:adj idx="1" val="270"/>
                  <dgm:adj idx="2" val="90"/>
                </dgm:adjLst>
              </dgm:shape>
            </dgm:if>
            <dgm:if name="Name28" axis="ch" ptType="node" func="cnt" op="equ" val="3">
              <dgm:shape xmlns:r="http://schemas.openxmlformats.org/officeDocument/2006/relationships" type="pie" r:blip="">
                <dgm:adjLst>
                  <dgm:adj idx="1" val="270"/>
                  <dgm:adj idx="2" val="30"/>
                </dgm:adjLst>
              </dgm:shape>
            </dgm:if>
            <dgm:if name="Name29" axis="ch" ptType="node" func="cnt" op="equ" val="4">
              <dgm:shape xmlns:r="http://schemas.openxmlformats.org/officeDocument/2006/relationships" type="pie" r:blip="">
                <dgm:adjLst>
                  <dgm:adj idx="1" val="270"/>
                  <dgm:adj idx="2" val="0"/>
                </dgm:adjLst>
              </dgm:shape>
            </dgm:if>
            <dgm:if name="Name30" axis="ch" ptType="node" func="cnt" op="equ" val="5">
              <dgm:shape xmlns:r="http://schemas.openxmlformats.org/officeDocument/2006/relationships" type="pie" r:blip="">
                <dgm:adjLst>
                  <dgm:adj idx="1" val="270"/>
                  <dgm:adj idx="2" val="342"/>
                </dgm:adjLst>
              </dgm:shape>
            </dgm:if>
            <dgm:if name="Name31" axis="ch" ptType="node" func="cnt" op="equ" val="6">
              <dgm:shape xmlns:r="http://schemas.openxmlformats.org/officeDocument/2006/relationships" type="pie" r:blip="">
                <dgm:adjLst>
                  <dgm:adj idx="1" val="270"/>
                  <dgm:adj idx="2" val="330"/>
                </dgm:adjLst>
              </dgm:shape>
            </dgm:if>
            <dgm:else name="Name32">
              <dgm:shape xmlns:r="http://schemas.openxmlformats.org/officeDocument/2006/relationships" type="pie" r:blip="">
                <dgm:adjLst>
                  <dgm:adj idx="1" val="270"/>
                  <dgm:adj idx="2" val="321.4286"/>
                </dgm:adjLst>
              </dgm:shape>
            </dgm:else>
          </dgm:choose>
          <dgm:choose name="Name33">
            <dgm:if name="Name34" func="var" arg="dir" op="equ" val="norm">
              <dgm:presOf axis="ch desOrSelf" ptType="node node" st="1 1" cnt="1 0"/>
            </dgm:if>
            <dgm:else name="Name35">
              <dgm:choose name="Name36">
                <dgm:if name="Name37" axis="ch" ptType="node" func="cnt" op="equ" val="1">
                  <dgm:presOf axis="ch desOrSelf" ptType="node node" st="1 1" cnt="1 0"/>
                </dgm:if>
                <dgm:if name="Name38" axis="ch" ptType="node" func="cnt" op="equ" val="2">
                  <dgm:presOf axis="ch desOrSelf" ptType="node node" st="2 1" cnt="1 0"/>
                </dgm:if>
                <dgm:if name="Name39" axis="ch" ptType="node" func="cnt" op="equ" val="3">
                  <dgm:presOf axis="ch desOrSelf" ptType="node node" st="3 1" cnt="1 0"/>
                </dgm:if>
                <dgm:if name="Name40" axis="ch" ptType="node" func="cnt" op="equ" val="4">
                  <dgm:presOf axis="ch desOrSelf" ptType="node node" st="4 1" cnt="1 0"/>
                </dgm:if>
                <dgm:if name="Name41" axis="ch" ptType="node" func="cnt" op="equ" val="5">
                  <dgm:presOf axis="ch desOrSelf" ptType="node node" st="5 1" cnt="1 0"/>
                </dgm:if>
                <dgm:if name="Name42" axis="ch" ptType="node" func="cnt" op="equ" val="6">
                  <dgm:presOf axis="ch desOrSelf" ptType="node node" st="6 1" cnt="1 0"/>
                </dgm:if>
                <dgm:else name="Name43">
                  <dgm:presOf axis="ch desOrSelf" ptType="node node" st="7 1" cnt="1 0"/>
                </dgm:else>
              </dgm:choose>
            </dgm:else>
          </dgm:choose>
          <dgm:constrLst/>
          <dgm:ruleLst/>
        </dgm:layoutNode>
        <dgm:layoutNode name="wedge1Tx" moveWith="wedge1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44">
            <dgm:if name="Name45" func="var" arg="dir" op="equ" val="norm">
              <dgm:presOf axis="ch desOrSelf" ptType="node node" st="1 1" cnt="1 0"/>
            </dgm:if>
            <dgm:else name="Name46">
              <dgm:choose name="Name47">
                <dgm:if name="Name48" axis="ch" ptType="node" func="cnt" op="equ" val="1">
                  <dgm:presOf axis="ch desOrSelf" ptType="node node" st="1 1" cnt="1 0"/>
                </dgm:if>
                <dgm:if name="Name49" axis="ch" ptType="node" func="cnt" op="equ" val="2">
                  <dgm:presOf axis="ch desOrSelf" ptType="node node" st="2 1" cnt="1 0"/>
                </dgm:if>
                <dgm:if name="Name50" axis="ch" ptType="node" func="cnt" op="equ" val="3">
                  <dgm:presOf axis="ch desOrSelf" ptType="node node" st="3 1" cnt="1 0"/>
                </dgm:if>
                <dgm:if name="Name51" axis="ch" ptType="node" func="cnt" op="equ" val="4">
                  <dgm:presOf axis="ch desOrSelf" ptType="node node" st="4 1" cnt="1 0"/>
                </dgm:if>
                <dgm:if name="Name52" axis="ch" ptType="node" func="cnt" op="equ" val="5">
                  <dgm:presOf axis="ch desOrSelf" ptType="node node" st="5 1" cnt="1 0"/>
                </dgm:if>
                <dgm:if name="Name53" axis="ch" ptType="node" func="cnt" op="equ" val="6">
                  <dgm:presOf axis="ch desOrSelf" ptType="node node" st="6 1" cnt="1 0"/>
                </dgm:if>
                <dgm:else name="Name54">
                  <dgm:presOf axis="ch desOrSelf" ptType="node node" st="7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55"/>
    </dgm:choose>
    <dgm:choose name="Name56">
      <dgm:if name="Name57" axis="ch" ptType="node" func="cnt" op="gte" val="2">
        <dgm:layoutNode name="wedge2">
          <dgm:alg type="sp"/>
          <dgm:choose name="Name58">
            <dgm:if name="Name59" axis="ch" ptType="node" func="cnt" op="equ" val="2">
              <dgm:shape xmlns:r="http://schemas.openxmlformats.org/officeDocument/2006/relationships" type="pie" r:blip="">
                <dgm:adjLst>
                  <dgm:adj idx="1" val="90"/>
                  <dgm:adj idx="2" val="270"/>
                </dgm:adjLst>
              </dgm:shape>
            </dgm:if>
            <dgm:if name="Name60" axis="ch" ptType="node" func="cnt" op="equ" val="3">
              <dgm:shape xmlns:r="http://schemas.openxmlformats.org/officeDocument/2006/relationships" type="pie" r:blip="">
                <dgm:adjLst>
                  <dgm:adj idx="1" val="30"/>
                  <dgm:adj idx="2" val="150"/>
                </dgm:adjLst>
              </dgm:shape>
            </dgm:if>
            <dgm:if name="Name61" axis="ch" ptType="node" func="cnt" op="equ" val="4">
              <dgm:shape xmlns:r="http://schemas.openxmlformats.org/officeDocument/2006/relationships" type="pie" r:blip="">
                <dgm:adjLst>
                  <dgm:adj idx="1" val="0"/>
                  <dgm:adj idx="2" val="90"/>
                </dgm:adjLst>
              </dgm:shape>
            </dgm:if>
            <dgm:if name="Name62" axis="ch" ptType="node" func="cnt" op="equ" val="5">
              <dgm:shape xmlns:r="http://schemas.openxmlformats.org/officeDocument/2006/relationships" type="pie" r:blip="">
                <dgm:adjLst>
                  <dgm:adj idx="1" val="342"/>
                  <dgm:adj idx="2" val="54"/>
                </dgm:adjLst>
              </dgm:shape>
            </dgm:if>
            <dgm:if name="Name63" axis="ch" ptType="node" func="cnt" op="equ" val="6">
              <dgm:shape xmlns:r="http://schemas.openxmlformats.org/officeDocument/2006/relationships" type="pie" r:blip="">
                <dgm:adjLst>
                  <dgm:adj idx="1" val="330"/>
                  <dgm:adj idx="2" val="30"/>
                </dgm:adjLst>
              </dgm:shape>
            </dgm:if>
            <dgm:else name="Name64">
              <dgm:shape xmlns:r="http://schemas.openxmlformats.org/officeDocument/2006/relationships" type="pie" r:blip="">
                <dgm:adjLst>
                  <dgm:adj idx="1" val="321.4286"/>
                  <dgm:adj idx="2" val="12.85714"/>
                </dgm:adjLst>
              </dgm:shape>
            </dgm:else>
          </dgm:choose>
          <dgm:choose name="Name65">
            <dgm:if name="Name66" func="var" arg="dir" op="equ" val="norm">
              <dgm:presOf axis="ch desOrSelf" ptType="node node" st="2 1" cnt="1 0"/>
            </dgm:if>
            <dgm:else name="Name67">
              <dgm:choose name="Name68">
                <dgm:if name="Name69" axis="ch" ptType="node" func="cnt" op="equ" val="2">
                  <dgm:presOf axis="ch desOrSelf" ptType="node node" st="1 1" cnt="1 0"/>
                </dgm:if>
                <dgm:if name="Name70" axis="ch" ptType="node" func="cnt" op="equ" val="3">
                  <dgm:presOf axis="ch desOrSelf" ptType="node node" st="2 1" cnt="1 0"/>
                </dgm:if>
                <dgm:if name="Name71" axis="ch" ptType="node" func="cnt" op="equ" val="4">
                  <dgm:presOf axis="ch desOrSelf" ptType="node node" st="3 1" cnt="1 0"/>
                </dgm:if>
                <dgm:if name="Name72" axis="ch" ptType="node" func="cnt" op="equ" val="5">
                  <dgm:presOf axis="ch desOrSelf" ptType="node node" st="4 1" cnt="1 0"/>
                </dgm:if>
                <dgm:if name="Name73" axis="ch" ptType="node" func="cnt" op="equ" val="6">
                  <dgm:presOf axis="ch desOrSelf" ptType="node node" st="5 1" cnt="1 0"/>
                </dgm:if>
                <dgm:else name="Name74">
                  <dgm:presOf axis="ch desOrSelf" ptType="node node" st="6 1" cnt="1 0"/>
                </dgm:else>
              </dgm:choose>
            </dgm:else>
          </dgm:choose>
          <dgm:constrLst/>
          <dgm:ruleLst/>
        </dgm:layoutNode>
        <dgm:layoutNode name="wedge2Tx" moveWith="wedge2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75">
            <dgm:if name="Name76" func="var" arg="dir" op="equ" val="norm">
              <dgm:presOf axis="ch desOrSelf" ptType="node node" st="2 1" cnt="1 0"/>
            </dgm:if>
            <dgm:else name="Name77">
              <dgm:choose name="Name78">
                <dgm:if name="Name79" axis="ch" ptType="node" func="cnt" op="equ" val="2">
                  <dgm:presOf axis="ch desOrSelf" ptType="node node" st="1 1" cnt="1 0"/>
                </dgm:if>
                <dgm:if name="Name80" axis="ch" ptType="node" func="cnt" op="equ" val="3">
                  <dgm:presOf axis="ch desOrSelf" ptType="node node" st="2 1" cnt="1 0"/>
                </dgm:if>
                <dgm:if name="Name81" axis="ch" ptType="node" func="cnt" op="equ" val="4">
                  <dgm:presOf axis="ch desOrSelf" ptType="node node" st="3 1" cnt="1 0"/>
                </dgm:if>
                <dgm:if name="Name82" axis="ch" ptType="node" func="cnt" op="equ" val="5">
                  <dgm:presOf axis="ch desOrSelf" ptType="node node" st="4 1" cnt="1 0"/>
                </dgm:if>
                <dgm:if name="Name83" axis="ch" ptType="node" func="cnt" op="equ" val="6">
                  <dgm:presOf axis="ch desOrSelf" ptType="node node" st="5 1" cnt="1 0"/>
                </dgm:if>
                <dgm:else name="Name84">
                  <dgm:presOf axis="ch desOrSelf" ptType="node node" st="6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85"/>
    </dgm:choose>
    <dgm:choose name="Name86">
      <dgm:if name="Name87" axis="ch" ptType="node" func="cnt" op="gte" val="3">
        <dgm:layoutNode name="wedge3">
          <dgm:alg type="sp"/>
          <dgm:choose name="Name88">
            <dgm:if name="Name89" axis="ch" ptType="node" func="cnt" op="equ" val="3">
              <dgm:shape xmlns:r="http://schemas.openxmlformats.org/officeDocument/2006/relationships" type="pie" r:blip="">
                <dgm:adjLst>
                  <dgm:adj idx="1" val="150"/>
                  <dgm:adj idx="2" val="270"/>
                </dgm:adjLst>
              </dgm:shape>
            </dgm:if>
            <dgm:if name="Name90" axis="ch" ptType="node" func="cnt" op="equ" val="4">
              <dgm:shape xmlns:r="http://schemas.openxmlformats.org/officeDocument/2006/relationships" type="pie" r:blip="">
                <dgm:adjLst>
                  <dgm:adj idx="1" val="90"/>
                  <dgm:adj idx="2" val="180"/>
                </dgm:adjLst>
              </dgm:shape>
            </dgm:if>
            <dgm:if name="Name91" axis="ch" ptType="node" func="cnt" op="equ" val="5">
              <dgm:shape xmlns:r="http://schemas.openxmlformats.org/officeDocument/2006/relationships" type="pie" r:blip="">
                <dgm:adjLst>
                  <dgm:adj idx="1" val="54"/>
                  <dgm:adj idx="2" val="126"/>
                </dgm:adjLst>
              </dgm:shape>
            </dgm:if>
            <dgm:if name="Name92" axis="ch" ptType="node" func="cnt" op="equ" val="6">
              <dgm:shape xmlns:r="http://schemas.openxmlformats.org/officeDocument/2006/relationships" type="pie" r:blip="">
                <dgm:adjLst>
                  <dgm:adj idx="1" val="30"/>
                  <dgm:adj idx="2" val="90"/>
                </dgm:adjLst>
              </dgm:shape>
            </dgm:if>
            <dgm:else name="Name93">
              <dgm:shape xmlns:r="http://schemas.openxmlformats.org/officeDocument/2006/relationships" type="pie" r:blip="">
                <dgm:adjLst>
                  <dgm:adj idx="1" val="12.85714"/>
                  <dgm:adj idx="2" val="64.28571"/>
                </dgm:adjLst>
              </dgm:shape>
            </dgm:else>
          </dgm:choose>
          <dgm:choose name="Name94">
            <dgm:if name="Name95" func="var" arg="dir" op="equ" val="norm">
              <dgm:presOf axis="ch desOrSelf" ptType="node node" st="3 1" cnt="1 0"/>
            </dgm:if>
            <dgm:else name="Name96">
              <dgm:choose name="Name97">
                <dgm:if name="Name98" axis="ch" ptType="node" func="cnt" op="equ" val="3">
                  <dgm:presOf axis="ch desOrSelf" ptType="node node" st="1 1" cnt="1 0"/>
                </dgm:if>
                <dgm:if name="Name99" axis="ch" ptType="node" func="cnt" op="equ" val="4">
                  <dgm:presOf axis="ch desOrSelf" ptType="node node" st="2 1" cnt="1 0"/>
                </dgm:if>
                <dgm:if name="Name100" axis="ch" ptType="node" func="cnt" op="equ" val="5">
                  <dgm:presOf axis="ch desOrSelf" ptType="node node" st="3 1" cnt="1 0"/>
                </dgm:if>
                <dgm:if name="Name101" axis="ch" ptType="node" func="cnt" op="equ" val="6">
                  <dgm:presOf axis="ch desOrSelf" ptType="node node" st="4 1" cnt="1 0"/>
                </dgm:if>
                <dgm:else name="Name102">
                  <dgm:presOf axis="ch desOrSelf" ptType="node node" st="5 1" cnt="1 0"/>
                </dgm:else>
              </dgm:choose>
            </dgm:else>
          </dgm:choose>
          <dgm:constrLst/>
          <dgm:ruleLst/>
        </dgm:layoutNode>
        <dgm:layoutNode name="wedge3Tx" moveWith="wedge3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03">
            <dgm:if name="Name104" func="var" arg="dir" op="equ" val="norm">
              <dgm:presOf axis="ch desOrSelf" ptType="node node" st="3 1" cnt="1 0"/>
            </dgm:if>
            <dgm:else name="Name105">
              <dgm:choose name="Name106">
                <dgm:if name="Name107" axis="ch" ptType="node" func="cnt" op="equ" val="3">
                  <dgm:presOf axis="ch desOrSelf" ptType="node node" st="1 1" cnt="1 0"/>
                </dgm:if>
                <dgm:if name="Name108" axis="ch" ptType="node" func="cnt" op="equ" val="4">
                  <dgm:presOf axis="ch desOrSelf" ptType="node node" st="2 1" cnt="1 0"/>
                </dgm:if>
                <dgm:if name="Name109" axis="ch" ptType="node" func="cnt" op="equ" val="5">
                  <dgm:presOf axis="ch desOrSelf" ptType="node node" st="3 1" cnt="1 0"/>
                </dgm:if>
                <dgm:if name="Name110" axis="ch" ptType="node" func="cnt" op="equ" val="6">
                  <dgm:presOf axis="ch desOrSelf" ptType="node node" st="4 1" cnt="1 0"/>
                </dgm:if>
                <dgm:else name="Name111">
                  <dgm:presOf axis="ch desOrSelf" ptType="node node" st="5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12"/>
    </dgm:choose>
    <dgm:choose name="Name113">
      <dgm:if name="Name114" axis="ch" ptType="node" func="cnt" op="gte" val="4">
        <dgm:layoutNode name="wedge4">
          <dgm:alg type="sp"/>
          <dgm:choose name="Name115">
            <dgm:if name="Name116" axis="ch" ptType="node" func="cnt" op="equ" val="4">
              <dgm:shape xmlns:r="http://schemas.openxmlformats.org/officeDocument/2006/relationships" type="pie" r:blip="">
                <dgm:adjLst>
                  <dgm:adj idx="1" val="180"/>
                  <dgm:adj idx="2" val="270"/>
                </dgm:adjLst>
              </dgm:shape>
            </dgm:if>
            <dgm:if name="Name117" axis="ch" ptType="node" func="cnt" op="equ" val="5">
              <dgm:shape xmlns:r="http://schemas.openxmlformats.org/officeDocument/2006/relationships" type="pie" r:blip="">
                <dgm:adjLst>
                  <dgm:adj idx="1" val="126"/>
                  <dgm:adj idx="2" val="198"/>
                </dgm:adjLst>
              </dgm:shape>
            </dgm:if>
            <dgm:if name="Name118" axis="ch" ptType="node" func="cnt" op="equ" val="6">
              <dgm:shape xmlns:r="http://schemas.openxmlformats.org/officeDocument/2006/relationships" type="pie" r:blip="">
                <dgm:adjLst>
                  <dgm:adj idx="1" val="90"/>
                  <dgm:adj idx="2" val="150"/>
                </dgm:adjLst>
              </dgm:shape>
            </dgm:if>
            <dgm:else name="Name119">
              <dgm:shape xmlns:r="http://schemas.openxmlformats.org/officeDocument/2006/relationships" type="pie" r:blip="">
                <dgm:adjLst>
                  <dgm:adj idx="1" val="64.2871"/>
                  <dgm:adj idx="2" val="115.7143"/>
                </dgm:adjLst>
              </dgm:shape>
            </dgm:else>
          </dgm:choose>
          <dgm:choose name="Name120">
            <dgm:if name="Name121" func="var" arg="dir" op="equ" val="norm">
              <dgm:presOf axis="ch desOrSelf" ptType="node node" st="4 1" cnt="1 0"/>
            </dgm:if>
            <dgm:else name="Name122">
              <dgm:choose name="Name123">
                <dgm:if name="Name124" axis="ch" ptType="node" func="cnt" op="equ" val="4">
                  <dgm:presOf axis="ch desOrSelf" ptType="node node" st="1 1" cnt="1 0"/>
                </dgm:if>
                <dgm:if name="Name125" axis="ch" ptType="node" func="cnt" op="equ" val="5">
                  <dgm:presOf axis="ch desOrSelf" ptType="node node" st="2 1" cnt="1 0"/>
                </dgm:if>
                <dgm:if name="Name126" axis="ch" ptType="node" func="cnt" op="equ" val="6">
                  <dgm:presOf axis="ch desOrSelf" ptType="node node" st="3 1" cnt="1 0"/>
                </dgm:if>
                <dgm:else name="Name127">
                  <dgm:presOf axis="ch desOrSelf" ptType="node node" st="4 1" cnt="1 0"/>
                </dgm:else>
              </dgm:choose>
            </dgm:else>
          </dgm:choose>
          <dgm:constrLst/>
          <dgm:ruleLst/>
        </dgm:layoutNode>
        <dgm:layoutNode name="wedge4Tx" moveWith="wedge4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28">
            <dgm:if name="Name129" func="var" arg="dir" op="equ" val="norm">
              <dgm:presOf axis="ch desOrSelf" ptType="node node" st="4 1" cnt="1 0"/>
            </dgm:if>
            <dgm:else name="Name130">
              <dgm:choose name="Name131">
                <dgm:if name="Name132" axis="ch" ptType="node" func="cnt" op="equ" val="4">
                  <dgm:presOf axis="ch desOrSelf" ptType="node node" st="1 1" cnt="1 0"/>
                </dgm:if>
                <dgm:if name="Name133" axis="ch" ptType="node" func="cnt" op="equ" val="5">
                  <dgm:presOf axis="ch desOrSelf" ptType="node node" st="2 1" cnt="1 0"/>
                </dgm:if>
                <dgm:if name="Name134" axis="ch" ptType="node" func="cnt" op="equ" val="6">
                  <dgm:presOf axis="ch desOrSelf" ptType="node node" st="3 1" cnt="1 0"/>
                </dgm:if>
                <dgm:else name="Name135">
                  <dgm:presOf axis="ch desOrSelf" ptType="node node" st="4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36"/>
    </dgm:choose>
    <dgm:choose name="Name137">
      <dgm:if name="Name138" axis="ch" ptType="node" func="cnt" op="gte" val="5">
        <dgm:layoutNode name="wedge5">
          <dgm:alg type="sp"/>
          <dgm:choose name="Name139">
            <dgm:if name="Name140" axis="ch" ptType="node" func="cnt" op="equ" val="5">
              <dgm:shape xmlns:r="http://schemas.openxmlformats.org/officeDocument/2006/relationships" type="pie" r:blip="">
                <dgm:adjLst>
                  <dgm:adj idx="1" val="198"/>
                  <dgm:adj idx="2" val="270"/>
                </dgm:adjLst>
              </dgm:shape>
            </dgm:if>
            <dgm:if name="Name141" axis="ch" ptType="node" func="cnt" op="equ" val="6">
              <dgm:shape xmlns:r="http://schemas.openxmlformats.org/officeDocument/2006/relationships" type="pie" r:blip="">
                <dgm:adjLst>
                  <dgm:adj idx="1" val="150"/>
                  <dgm:adj idx="2" val="210"/>
                </dgm:adjLst>
              </dgm:shape>
            </dgm:if>
            <dgm:else name="Name142">
              <dgm:shape xmlns:r="http://schemas.openxmlformats.org/officeDocument/2006/relationships" type="pie" r:blip="">
                <dgm:adjLst>
                  <dgm:adj idx="1" val="115.7143"/>
                  <dgm:adj idx="2" val="167.1429"/>
                </dgm:adjLst>
              </dgm:shape>
            </dgm:else>
          </dgm:choose>
          <dgm:choose name="Name143">
            <dgm:if name="Name144" func="var" arg="dir" op="equ" val="norm">
              <dgm:presOf axis="ch desOrSelf" ptType="node node" st="5 1" cnt="1 0"/>
            </dgm:if>
            <dgm:else name="Name145">
              <dgm:choose name="Name146">
                <dgm:if name="Name147" axis="ch" ptType="node" func="cnt" op="equ" val="5">
                  <dgm:presOf axis="ch desOrSelf" ptType="node node" st="1 1" cnt="1 0"/>
                </dgm:if>
                <dgm:if name="Name148" axis="ch" ptType="node" func="cnt" op="equ" val="6">
                  <dgm:presOf axis="ch desOrSelf" ptType="node node" st="2 1" cnt="1 0"/>
                </dgm:if>
                <dgm:else name="Name149">
                  <dgm:presOf axis="ch desOrSelf" ptType="node node" st="3 1" cnt="1 0"/>
                </dgm:else>
              </dgm:choose>
            </dgm:else>
          </dgm:choose>
          <dgm:constrLst/>
          <dgm:ruleLst/>
        </dgm:layoutNode>
        <dgm:layoutNode name="wedge5Tx" moveWith="wedge5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50">
            <dgm:if name="Name151" func="var" arg="dir" op="equ" val="norm">
              <dgm:presOf axis="ch desOrSelf" ptType="node node" st="5 1" cnt="1 0"/>
            </dgm:if>
            <dgm:else name="Name152">
              <dgm:choose name="Name153">
                <dgm:if name="Name154" axis="ch" ptType="node" func="cnt" op="equ" val="5">
                  <dgm:presOf axis="ch desOrSelf" ptType="node node" st="1 1" cnt="1 0"/>
                </dgm:if>
                <dgm:if name="Name155" axis="ch" ptType="node" func="cnt" op="equ" val="6">
                  <dgm:presOf axis="ch desOrSelf" ptType="node node" st="2 1" cnt="1 0"/>
                </dgm:if>
                <dgm:else name="Name156">
                  <dgm:presOf axis="ch desOrSelf" ptType="node node" st="3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57"/>
    </dgm:choose>
    <dgm:choose name="Name158">
      <dgm:if name="Name159" axis="ch" ptType="node" func="cnt" op="gte" val="6">
        <dgm:layoutNode name="wedge6">
          <dgm:alg type="sp"/>
          <dgm:choose name="Name160">
            <dgm:if name="Name161" axis="ch" ptType="node" func="cnt" op="equ" val="6">
              <dgm:shape xmlns:r="http://schemas.openxmlformats.org/officeDocument/2006/relationships" type="pie" r:blip="">
                <dgm:adjLst>
                  <dgm:adj idx="1" val="210"/>
                  <dgm:adj idx="2" val="270"/>
                </dgm:adjLst>
              </dgm:shape>
            </dgm:if>
            <dgm:else name="Name162">
              <dgm:shape xmlns:r="http://schemas.openxmlformats.org/officeDocument/2006/relationships" type="pie" r:blip="">
                <dgm:adjLst>
                  <dgm:adj idx="1" val="167.1429"/>
                  <dgm:adj idx="2" val="218.5714"/>
                </dgm:adjLst>
              </dgm:shape>
            </dgm:else>
          </dgm:choose>
          <dgm:choose name="Name163">
            <dgm:if name="Name164" func="var" arg="dir" op="equ" val="norm">
              <dgm:presOf axis="ch desOrSelf" ptType="node node" st="6 1" cnt="1 0"/>
            </dgm:if>
            <dgm:else name="Name165">
              <dgm:choose name="Name166">
                <dgm:if name="Name167" axis="ch" ptType="node" func="cnt" op="equ" val="6">
                  <dgm:presOf axis="ch desOrSelf" ptType="node node" st="1 1" cnt="1 0"/>
                </dgm:if>
                <dgm:else name="Name168">
                  <dgm:presOf axis="ch desOrSelf" ptType="node node" st="2 1" cnt="1 0"/>
                </dgm:else>
              </dgm:choose>
            </dgm:else>
          </dgm:choose>
          <dgm:constrLst/>
          <dgm:ruleLst/>
        </dgm:layoutNode>
        <dgm:layoutNode name="wedge6Tx" moveWith="wedge6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69">
            <dgm:if name="Name170" func="var" arg="dir" op="equ" val="norm">
              <dgm:presOf axis="ch desOrSelf" ptType="node node" st="6 1" cnt="1 0"/>
            </dgm:if>
            <dgm:else name="Name171">
              <dgm:choose name="Name172">
                <dgm:if name="Name173" axis="ch" ptType="node" func="cnt" op="equ" val="6">
                  <dgm:presOf axis="ch desOrSelf" ptType="node node" st="1 1" cnt="1 0"/>
                </dgm:if>
                <dgm:else name="Name174">
                  <dgm:presOf axis="ch desOrSelf" ptType="node node" st="2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75"/>
    </dgm:choose>
    <dgm:choose name="Name176">
      <dgm:if name="Name177" axis="ch" ptType="node" func="cnt" op="gte" val="7">
        <dgm:layoutNode name="wedge7">
          <dgm:alg type="sp"/>
          <dgm:shape xmlns:r="http://schemas.openxmlformats.org/officeDocument/2006/relationships" type="pie" r:blip="">
            <dgm:adjLst>
              <dgm:adj idx="1" val="218.5714"/>
              <dgm:adj idx="2" val="270"/>
            </dgm:adjLst>
          </dgm:shape>
          <dgm:choose name="Name178">
            <dgm:if name="Name179" func="var" arg="dir" op="equ" val="norm">
              <dgm:presOf axis="ch desOrSelf" ptType="node node" st="7 1" cnt="1 0"/>
            </dgm:if>
            <dgm:else name="Name180">
              <dgm:presOf axis="ch desOrSelf" ptType="node node" st="1 1" cnt="1 0"/>
            </dgm:else>
          </dgm:choose>
          <dgm:constrLst/>
          <dgm:ruleLst/>
        </dgm:layoutNode>
        <dgm:layoutNode name="wedge7Tx" moveWith="wedge7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81">
            <dgm:if name="Name182" func="var" arg="dir" op="equ" val="norm">
              <dgm:presOf axis="ch desOrSelf" ptType="node node" st="7 1" cnt="1 0"/>
            </dgm:if>
            <dgm:else name="Name183">
              <dgm:presOf axis="ch desOrSelf" ptType="node node" st="1 1" cnt="1 0"/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84"/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chart3">
  <dgm:title val=""/>
  <dgm:desc val=""/>
  <dgm:catLst>
    <dgm:cat type="relationship" pri="27000"/>
    <dgm:cat type="cycle" pri="8000"/>
  </dgm:catLst>
  <dgm:sampData useDef="1">
    <dgm:dataModel>
      <dgm:ptLst/>
      <dgm:bg/>
      <dgm:whole/>
    </dgm:dataModel>
  </dgm:sampData>
  <dgm:styleData useDef="1">
    <dgm:dataModel>
      <dgm:ptLst/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compositeShape">
    <dgm:varLst>
      <dgm:chMax val="7"/>
      <dgm:dir/>
      <dgm:resizeHandles val="exact"/>
    </dgm:varLst>
    <dgm:alg type="composite">
      <dgm:param type="horzAlign" val="ctr"/>
      <dgm:param type="vertAlign" val="mid"/>
      <dgm:param type="ar" val="1"/>
    </dgm:alg>
    <dgm:presOf/>
    <dgm:shape xmlns:r="http://schemas.openxmlformats.org/officeDocument/2006/relationships" r:blip="">
      <dgm:adjLst/>
    </dgm:shape>
    <dgm:choose name="Name0">
      <dgm:if name="Name1" axis="ch" ptType="node" func="cnt" op="equ" val="1">
        <dgm:constrLst>
          <dgm:constr type="l" for="ch" forName="wedge1" refType="w" fact="0.08"/>
          <dgm:constr type="t" for="ch" forName="wedge1" refType="w" fact="0.08"/>
          <dgm:constr type="w" for="ch" forName="wedge1" refType="w" fact="0.84"/>
          <dgm:constr type="h" for="ch" forName="wedge1" refType="h" fact="0.84"/>
          <dgm:constr type="l" for="ch" forName="wedge1Tx" refType="w" fact="0.205"/>
          <dgm:constr type="t" for="ch" forName="wedge1Tx" refType="h" fact="0.205"/>
          <dgm:constr type="w" for="ch" forName="wedge1Tx" refType="w" fact="0.59"/>
          <dgm:constr type="h" for="ch" forName="wedge1Tx" refType="h" fact="0.59"/>
          <dgm:constr type="primFontSz" for="ch" ptType="node" op="equ"/>
        </dgm:constrLst>
      </dgm:if>
      <dgm:if name="Name2" axis="ch" ptType="node" func="cnt" op="equ" val="2">
        <dgm:constrLst>
          <dgm:constr type="l" for="ch" forName="wedge1" refType="w" fact="0.1"/>
          <dgm:constr type="t" for="ch" forName="wedge1" refType="w" fact="0.08"/>
          <dgm:constr type="w" for="ch" forName="wedge1" refType="w" fact="0.84"/>
          <dgm:constr type="h" for="ch" forName="wedge1" refType="h" fact="0.84"/>
          <dgm:constr type="l" for="ch" forName="wedge1Tx" refType="w" fact="0.52"/>
          <dgm:constr type="t" for="ch" forName="wedge1Tx" refType="h" fact="0.205"/>
          <dgm:constr type="w" for="ch" forName="wedge1Tx" refType="w" fact="0.295"/>
          <dgm:constr type="h" for="ch" forName="wedge1Tx" refType="h" fact="0.59"/>
          <dgm:constr type="l" for="ch" forName="wedge2" refType="w" fact="0.08"/>
          <dgm:constr type="t" for="ch" forName="wedge2" refType="w" fact="0.08"/>
          <dgm:constr type="w" for="ch" forName="wedge2" refType="w" fact="0.84"/>
          <dgm:constr type="h" for="ch" forName="wedge2" refType="h" fact="0.84"/>
          <dgm:constr type="l" for="ch" forName="wedge2Tx" refType="w" fact="0.2"/>
          <dgm:constr type="t" for="ch" forName="wedge2Tx" refType="h" fact="0.205"/>
          <dgm:constr type="w" for="ch" forName="wedge2Tx" refType="w" fact="0.295"/>
          <dgm:constr type="h" for="ch" forName="wedge2Tx" refType="h" fact="0.59"/>
          <dgm:constr type="primFontSz" for="ch" ptType="node" op="equ"/>
        </dgm:constrLst>
      </dgm:if>
      <dgm:if name="Name3" axis="ch" ptType="node" func="cnt" op="equ" val="3">
        <dgm:choose name="Name4">
          <dgm:if name="Name5" func="var" arg="dir" op="equ" val="norm">
            <dgm:constrLst>
              <dgm:constr type="l" for="ch" forName="wedge1" refType="w" fact="0.1233"/>
              <dgm:constr type="t" for="ch" forName="wedge1" refType="w" fact="0.055"/>
              <dgm:constr type="w" for="ch" forName="wedge1" refType="w" fact="0.84"/>
              <dgm:constr type="h" for="ch" forName="wedge1" refType="h" fact="0.84"/>
              <dgm:constr type="l" for="ch" forName="wedge1Tx" refType="w" fact="0.58"/>
              <dgm:constr type="t" for="ch" forName="wedge1Tx" refType="h" fact="0.21"/>
              <dgm:constr type="w" for="ch" forName="wedge1Tx" refType="w" fact="0.285"/>
              <dgm:constr type="h" for="ch" forName="wedge1Tx" refType="h" fact="0.2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31"/>
              <dgm:constr type="t" for="ch" forName="wedge2Tx" refType="h" fact="0.61"/>
              <dgm:constr type="w" for="ch" forName="wedge2Tx" refType="w" fact="0.38"/>
              <dgm:constr type="h" for="ch" forName="wedge2Tx" refType="h" fact="0.26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17"/>
              <dgm:constr type="t" for="ch" forName="wedge3Tx" refType="h" fact="0.245"/>
              <dgm:constr type="w" for="ch" forName="wedge3Tx" refType="w" fact="0.285"/>
              <dgm:constr type="h" for="ch" forName="wedge3Tx" refType="h" fact="0.28"/>
              <dgm:constr type="primFontSz" for="ch" ptType="node" op="equ"/>
            </dgm:constrLst>
          </dgm:if>
          <dgm:else name="Name6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45"/>
              <dgm:constr type="t" for="ch" forName="wedge1Tx" refType="h" fact="0.245"/>
              <dgm:constr type="w" for="ch" forName="wedge1Tx" refType="w" fact="0.285"/>
              <dgm:constr type="h" for="ch" forName="wedge1Tx" refType="h" fact="0.2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31"/>
              <dgm:constr type="t" for="ch" forName="wedge2Tx" refType="h" fact="0.61"/>
              <dgm:constr type="w" for="ch" forName="wedge2Tx" refType="w" fact="0.38"/>
              <dgm:constr type="h" for="ch" forName="wedge2Tx" refType="h" fact="0.26"/>
              <dgm:constr type="l" for="ch" forName="wedge3" refType="w" fact="0.0367"/>
              <dgm:constr type="t" for="ch" forName="wedge3" refType="w" fact="0.055"/>
              <dgm:constr type="w" for="ch" forName="wedge3" refType="w" fact="0.84"/>
              <dgm:constr type="h" for="ch" forName="wedge3" refType="h" fact="0.84"/>
              <dgm:constr type="l" for="ch" forName="wedge3Tx" refType="w" fact="0.14"/>
              <dgm:constr type="t" for="ch" forName="wedge3Tx" refType="h" fact="0.21"/>
              <dgm:constr type="w" for="ch" forName="wedge3Tx" refType="w" fact="0.285"/>
              <dgm:constr type="h" for="ch" forName="wedge3Tx" refType="h" fact="0.28"/>
              <dgm:constr type="primFontSz" for="ch" ptType="node" op="equ"/>
            </dgm:constrLst>
          </dgm:else>
        </dgm:choose>
      </dgm:if>
      <dgm:if name="Name7" axis="ch" ptType="node" func="cnt" op="equ" val="4">
        <dgm:choose name="Name8">
          <dgm:if name="Name9" func="var" arg="dir" op="equ" val="norm">
            <dgm:constrLst>
              <dgm:constr type="l" for="ch" forName="wedge1" refType="w" fact="0.1154"/>
              <dgm:constr type="t" for="ch" forName="wedge1" refType="w" fact="0.0446"/>
              <dgm:constr type="w" for="ch" forName="wedge1" refType="w" fact="0.84"/>
              <dgm:constr type="h" for="ch" forName="wedge1" refType="h" fact="0.84"/>
              <dgm:constr type="l" for="ch" forName="wedge1Tx" refType="w" fact="0.545"/>
              <dgm:constr type="t" for="ch" forName="wedge1Tx" refType="h" fact="0.2"/>
              <dgm:constr type="w" for="ch" forName="wedge1Tx" refType="w" fact="0.31"/>
              <dgm:constr type="h" for="ch" forName="wedge1Tx" refType="h" fact="0.2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515"/>
              <dgm:constr type="t" for="ch" forName="wedge2Tx" refType="h" fact="0.515"/>
              <dgm:constr type="w" for="ch" forName="wedge2Tx" refType="w" fact="0.31"/>
              <dgm:constr type="h" for="ch" forName="wedge2Tx" refType="h" fact="0.2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175"/>
              <dgm:constr type="t" for="ch" forName="wedge3Tx" refType="h" fact="0.515"/>
              <dgm:constr type="w" for="ch" forName="wedge3Tx" refType="w" fact="0.31"/>
              <dgm:constr type="h" for="ch" forName="wedge3Tx" refType="h" fact="0.25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175"/>
              <dgm:constr type="t" for="ch" forName="wedge4Tx" refType="h" fact="0.235"/>
              <dgm:constr type="w" for="ch" forName="wedge4Tx" refType="w" fact="0.31"/>
              <dgm:constr type="h" for="ch" forName="wedge4Tx" refType="h" fact="0.25"/>
              <dgm:constr type="primFontSz" for="ch" ptType="node" op="equ"/>
            </dgm:constrLst>
          </dgm:if>
          <dgm:else name="Name10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15"/>
              <dgm:constr type="t" for="ch" forName="wedge1Tx" refType="h" fact="0.235"/>
              <dgm:constr type="w" for="ch" forName="wedge1Tx" refType="w" fact="0.31"/>
              <dgm:constr type="h" for="ch" forName="wedge1Tx" refType="h" fact="0.2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515"/>
              <dgm:constr type="t" for="ch" forName="wedge2Tx" refType="h" fact="0.515"/>
              <dgm:constr type="w" for="ch" forName="wedge2Tx" refType="w" fact="0.31"/>
              <dgm:constr type="h" for="ch" forName="wedge2Tx" refType="h" fact="0.2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175"/>
              <dgm:constr type="t" for="ch" forName="wedge3Tx" refType="h" fact="0.515"/>
              <dgm:constr type="w" for="ch" forName="wedge3Tx" refType="w" fact="0.31"/>
              <dgm:constr type="h" for="ch" forName="wedge3Tx" refType="h" fact="0.25"/>
              <dgm:constr type="l" for="ch" forName="wedge4" refType="w" fact="0.0446"/>
              <dgm:constr type="t" for="ch" forName="wedge4" refType="h" fact="0.0446"/>
              <dgm:constr type="w" for="ch" forName="wedge4" refType="w" fact="0.84"/>
              <dgm:constr type="h" for="ch" forName="wedge4" refType="h" fact="0.84"/>
              <dgm:constr type="l" for="ch" forName="wedge4Tx" refType="w" fact="0.145"/>
              <dgm:constr type="t" for="ch" forName="wedge4Tx" refType="h" fact="0.2"/>
              <dgm:constr type="w" for="ch" forName="wedge4Tx" refType="w" fact="0.31"/>
              <dgm:constr type="h" for="ch" forName="wedge4Tx" refType="h" fact="0.25"/>
              <dgm:constr type="primFontSz" for="ch" ptType="node" op="equ"/>
            </dgm:constrLst>
          </dgm:else>
        </dgm:choose>
      </dgm:if>
      <dgm:if name="Name11" axis="ch" ptType="node" func="cnt" op="equ" val="5">
        <dgm:choose name="Name12">
          <dgm:if name="Name13" func="var" arg="dir" op="equ" val="norm">
            <dgm:constrLst>
              <dgm:constr type="l" for="ch" forName="wedge1" refType="w" fact="0.1094"/>
              <dgm:constr type="t" for="ch" forName="wedge1" refType="w" fact="0.0395"/>
              <dgm:constr type="w" for="ch" forName="wedge1" refType="w" fact="0.84"/>
              <dgm:constr type="h" for="ch" forName="wedge1" refType="h" fact="0.84"/>
              <dgm:constr type="l" for="ch" forName="wedge1Tx" refType="w" fact="0.54"/>
              <dgm:constr type="t" for="ch" forName="wedge1Tx" refType="h" fact="0.165"/>
              <dgm:constr type="w" for="ch" forName="wedge1Tx" refType="w" fact="0.285"/>
              <dgm:constr type="h" for="ch" forName="wedge1Tx" refType="h" fact="0.19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29"/>
              <dgm:constr type="t" for="ch" forName="wedge2Tx" refType="h" fact="0.46"/>
              <dgm:constr type="w" for="ch" forName="wedge2Tx" refType="w" fact="0.25"/>
              <dgm:constr type="h" for="ch" forName="wedge2Tx" refType="h" fact="0.211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35"/>
              <dgm:constr type="t" for="ch" forName="wedge3Tx" refType="h" fact="0.71"/>
              <dgm:constr type="w" for="ch" forName="wedge3Tx" refType="w" fact="0.3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12"/>
              <dgm:constr type="t" for="ch" forName="wedge4Tx" refType="h" fact="0.46"/>
              <dgm:constr type="w" for="ch" forName="wedge4Tx" refType="w" fact="0.25"/>
              <dgm:constr type="h" for="ch" forName="wedge4Tx" refType="h" fact="0.211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2025"/>
              <dgm:constr type="t" for="ch" forName="wedge5Tx" refType="h" fact="0.208"/>
              <dgm:constr type="w" for="ch" forName="wedge5Tx" refType="w" fact="0.285"/>
              <dgm:constr type="h" for="ch" forName="wedge5Tx" refType="h" fact="0.195"/>
              <dgm:constr type="primFontSz" for="ch" ptType="node" op="equ"/>
            </dgm:constrLst>
          </dgm:if>
          <dgm:else name="Name14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1"/>
              <dgm:constr type="t" for="ch" forName="wedge1Tx" refType="h" fact="0.208"/>
              <dgm:constr type="w" for="ch" forName="wedge1Tx" refType="w" fact="0.285"/>
              <dgm:constr type="h" for="ch" forName="wedge1Tx" refType="h" fact="0.19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29"/>
              <dgm:constr type="t" for="ch" forName="wedge2Tx" refType="h" fact="0.46"/>
              <dgm:constr type="w" for="ch" forName="wedge2Tx" refType="w" fact="0.25"/>
              <dgm:constr type="h" for="ch" forName="wedge2Tx" refType="h" fact="0.211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35"/>
              <dgm:constr type="t" for="ch" forName="wedge3Tx" refType="h" fact="0.71"/>
              <dgm:constr type="w" for="ch" forName="wedge3Tx" refType="w" fact="0.3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12"/>
              <dgm:constr type="t" for="ch" forName="wedge4Tx" refType="h" fact="0.46"/>
              <dgm:constr type="w" for="ch" forName="wedge4Tx" refType="w" fact="0.25"/>
              <dgm:constr type="h" for="ch" forName="wedge4Tx" refType="h" fact="0.211"/>
              <dgm:constr type="l" for="ch" forName="wedge5" refType="w" fact="0.0506"/>
              <dgm:constr type="t" for="ch" forName="wedge5" refType="h" fact="0.0395"/>
              <dgm:constr type="w" for="ch" forName="wedge5" refType="w" fact="0.84"/>
              <dgm:constr type="h" for="ch" forName="wedge5" refType="h" fact="0.84"/>
              <dgm:constr type="l" for="ch" forName="wedge5Tx" refType="w" fact="0.18"/>
              <dgm:constr type="t" for="ch" forName="wedge5Tx" refType="h" fact="0.165"/>
              <dgm:constr type="w" for="ch" forName="wedge5Tx" refType="w" fact="0.285"/>
              <dgm:constr type="h" for="ch" forName="wedge5Tx" refType="h" fact="0.195"/>
              <dgm:constr type="primFontSz" for="ch" ptType="node" op="equ"/>
            </dgm:constrLst>
          </dgm:else>
        </dgm:choose>
      </dgm:if>
      <dgm:if name="Name15" axis="ch" ptType="node" func="cnt" op="equ" val="6">
        <dgm:choose name="Name16">
          <dgm:if name="Name17" func="var" arg="dir" op="equ" val="norm">
            <dgm:constrLst>
              <dgm:constr type="l" for="ch" forName="wedge1" refType="w" fact="0.105"/>
              <dgm:constr type="t" for="ch" forName="wedge1" refType="w" fact="0.0367"/>
              <dgm:constr type="w" for="ch" forName="wedge1" refType="w" fact="0.84"/>
              <dgm:constr type="h" for="ch" forName="wedge1" refType="h" fact="0.84"/>
              <dgm:constr type="l" for="ch" forName="wedge1Tx" refType="w" fact="0.534"/>
              <dgm:constr type="t" for="ch" forName="wedge1Tx" refType="h" fact="0.1267"/>
              <dgm:constr type="w" for="ch" forName="wedge1Tx" refType="w" fact="0.245"/>
              <dgm:constr type="h" for="ch" forName="wedge1Tx" refType="h" fact="0.1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415"/>
              <dgm:constr type="w" for="ch" forName="wedge2Tx" refType="w" fact="0.254"/>
              <dgm:constr type="h" for="ch" forName="wedge2Tx" refType="h" fact="0.17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509"/>
              <dgm:constr type="t" for="ch" forName="wedge3Tx" refType="h" fact="0.65"/>
              <dgm:constr type="w" for="ch" forName="wedge3Tx" refType="w" fact="0.245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246"/>
              <dgm:constr type="t" for="ch" forName="wedge4Tx" refType="h" fact="0.65"/>
              <dgm:constr type="w" for="ch" forName="wedge4Tx" refType="w" fact="0.245"/>
              <dgm:constr type="h" for="ch" forName="wedge4Tx" refType="h" fact="0.18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093"/>
              <dgm:constr type="t" for="ch" forName="wedge5Tx" refType="h" fact="0.415"/>
              <dgm:constr type="w" for="ch" forName="wedge5Tx" refType="w" fact="0.254"/>
              <dgm:constr type="h" for="ch" forName="wedge5Tx" refType="h" fact="0.17"/>
              <dgm:constr type="l" for="ch" forName="wedge6" refType="w" fact="0.08"/>
              <dgm:constr type="t" for="ch" forName="wedge6" refType="h" fact="0.08"/>
              <dgm:constr type="w" for="ch" forName="wedge6" refType="w" fact="0.84"/>
              <dgm:constr type="h" for="ch" forName="wedge6" refType="h" fact="0.84"/>
              <dgm:constr type="l" for="ch" forName="wedge6Tx" refType="w" fact="0.246"/>
              <dgm:constr type="t" for="ch" forName="wedge6Tx" refType="h" fact="0.17"/>
              <dgm:constr type="w" for="ch" forName="wedge6Tx" refType="w" fact="0.245"/>
              <dgm:constr type="h" for="ch" forName="wedge6Tx" refType="h" fact="0.18"/>
              <dgm:constr type="primFontSz" for="ch" ptType="node" op="equ"/>
            </dgm:constrLst>
          </dgm:if>
          <dgm:else name="Name18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09"/>
              <dgm:constr type="t" for="ch" forName="wedge1Tx" refType="h" fact="0.17"/>
              <dgm:constr type="w" for="ch" forName="wedge1Tx" refType="w" fact="0.245"/>
              <dgm:constr type="h" for="ch" forName="wedge1Tx" refType="h" fact="0.1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415"/>
              <dgm:constr type="w" for="ch" forName="wedge2Tx" refType="w" fact="0.254"/>
              <dgm:constr type="h" for="ch" forName="wedge2Tx" refType="h" fact="0.17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509"/>
              <dgm:constr type="t" for="ch" forName="wedge3Tx" refType="h" fact="0.65"/>
              <dgm:constr type="w" for="ch" forName="wedge3Tx" refType="w" fact="0.245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246"/>
              <dgm:constr type="t" for="ch" forName="wedge4Tx" refType="h" fact="0.65"/>
              <dgm:constr type="w" for="ch" forName="wedge4Tx" refType="w" fact="0.245"/>
              <dgm:constr type="h" for="ch" forName="wedge4Tx" refType="h" fact="0.18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093"/>
              <dgm:constr type="t" for="ch" forName="wedge5Tx" refType="h" fact="0.415"/>
              <dgm:constr type="w" for="ch" forName="wedge5Tx" refType="w" fact="0.254"/>
              <dgm:constr type="h" for="ch" forName="wedge5Tx" refType="h" fact="0.17"/>
              <dgm:constr type="l" for="ch" forName="wedge6" refType="w" fact="0.055"/>
              <dgm:constr type="t" for="ch" forName="wedge6" refType="h" fact="0.0367"/>
              <dgm:constr type="w" for="ch" forName="wedge6" refType="w" fact="0.84"/>
              <dgm:constr type="h" for="ch" forName="wedge6" refType="h" fact="0.84"/>
              <dgm:constr type="l" for="ch" forName="wedge6Tx" refType="w" fact="0.221"/>
              <dgm:constr type="t" for="ch" forName="wedge6Tx" refType="h" fact="0.1267"/>
              <dgm:constr type="w" for="ch" forName="wedge6Tx" refType="w" fact="0.245"/>
              <dgm:constr type="h" for="ch" forName="wedge6Tx" refType="h" fact="0.18"/>
              <dgm:constr type="primFontSz" for="ch" ptType="node" op="equ"/>
            </dgm:constrLst>
          </dgm:else>
        </dgm:choose>
      </dgm:if>
      <dgm:else name="Name19">
        <dgm:choose name="Name20">
          <dgm:if name="Name21" func="var" arg="dir" op="equ" val="norm">
            <dgm:constrLst>
              <dgm:constr type="l" for="ch" forName="wedge1" refType="w" fact="0.1017"/>
              <dgm:constr type="t" for="ch" forName="wedge1" refType="w" fact="0.035"/>
              <dgm:constr type="w" for="ch" forName="wedge1" refType="w" fact="0.84"/>
              <dgm:constr type="h" for="ch" forName="wedge1" refType="h" fact="0.84"/>
              <dgm:constr type="l" for="ch" forName="wedge1Tx" refType="w" fact="0.53"/>
              <dgm:constr type="t" for="ch" forName="wedge1Tx" refType="h" fact="0.115"/>
              <dgm:constr type="w" for="ch" forName="wedge1Tx" refType="w" fact="0.23"/>
              <dgm:constr type="h" for="ch" forName="wedge1Tx" refType="h" fact="0.14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38"/>
              <dgm:constr type="w" for="ch" forName="wedge2Tx" refType="w" fact="0.244"/>
              <dgm:constr type="h" for="ch" forName="wedge2Tx" refType="h" fact="0.15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62"/>
              <dgm:constr type="t" for="ch" forName="wedge3Tx" refType="h" fact="0.58"/>
              <dgm:constr type="w" for="ch" forName="wedge3Tx" refType="w" fact="0.22"/>
              <dgm:constr type="h" for="ch" forName="wedge3Tx" refType="h" fact="0.16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3875"/>
              <dgm:constr type="t" for="ch" forName="wedge4Tx" refType="h" fact="0.74"/>
              <dgm:constr type="w" for="ch" forName="wedge4Tx" refType="w" fact="0.225"/>
              <dgm:constr type="h" for="ch" forName="wedge4Tx" refType="h" fact="0.16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16"/>
              <dgm:constr type="t" for="ch" forName="wedge5Tx" refType="h" fact="0.58"/>
              <dgm:constr type="w" for="ch" forName="wedge5Tx" refType="w" fact="0.22"/>
              <dgm:constr type="h" for="ch" forName="wedge5Tx" refType="h" fact="0.16"/>
              <dgm:constr type="l" for="ch" forName="wedge6" refType="w" fact="0.08"/>
              <dgm:constr type="t" for="ch" forName="wedge6" refType="h" fact="0.08"/>
              <dgm:constr type="w" for="ch" forName="wedge6" refType="w" fact="0.84"/>
              <dgm:constr type="h" for="ch" forName="wedge6" refType="h" fact="0.84"/>
              <dgm:constr type="l" for="ch" forName="wedge6Tx" refType="w" fact="0.101"/>
              <dgm:constr type="t" for="ch" forName="wedge6Tx" refType="h" fact="0.38"/>
              <dgm:constr type="w" for="ch" forName="wedge6Tx" refType="w" fact="0.244"/>
              <dgm:constr type="h" for="ch" forName="wedge6Tx" refType="h" fact="0.155"/>
              <dgm:constr type="l" for="ch" forName="wedge7" refType="w" fact="0.08"/>
              <dgm:constr type="t" for="ch" forName="wedge7" refType="h" fact="0.08"/>
              <dgm:constr type="w" for="ch" forName="wedge7" refType="w" fact="0.84"/>
              <dgm:constr type="h" for="ch" forName="wedge7" refType="h" fact="0.84"/>
              <dgm:constr type="l" for="ch" forName="wedge7Tx" refType="w" fact="0.262"/>
              <dgm:constr type="t" for="ch" forName="wedge7Tx" refType="h" fact="0.16"/>
              <dgm:constr type="w" for="ch" forName="wedge7Tx" refType="w" fact="0.23"/>
              <dgm:constr type="h" for="ch" forName="wedge7Tx" refType="h" fact="0.145"/>
              <dgm:constr type="primFontSz" for="ch" ptType="node" op="equ"/>
            </dgm:constrLst>
          </dgm:if>
          <dgm:else name="Name22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08"/>
              <dgm:constr type="t" for="ch" forName="wedge1Tx" refType="h" fact="0.16"/>
              <dgm:constr type="w" for="ch" forName="wedge1Tx" refType="w" fact="0.23"/>
              <dgm:constr type="h" for="ch" forName="wedge1Tx" refType="h" fact="0.14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38"/>
              <dgm:constr type="w" for="ch" forName="wedge2Tx" refType="w" fact="0.244"/>
              <dgm:constr type="h" for="ch" forName="wedge2Tx" refType="h" fact="0.15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62"/>
              <dgm:constr type="t" for="ch" forName="wedge3Tx" refType="h" fact="0.58"/>
              <dgm:constr type="w" for="ch" forName="wedge3Tx" refType="w" fact="0.22"/>
              <dgm:constr type="h" for="ch" forName="wedge3Tx" refType="h" fact="0.16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3875"/>
              <dgm:constr type="t" for="ch" forName="wedge4Tx" refType="h" fact="0.74"/>
              <dgm:constr type="w" for="ch" forName="wedge4Tx" refType="w" fact="0.225"/>
              <dgm:constr type="h" for="ch" forName="wedge4Tx" refType="h" fact="0.16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16"/>
              <dgm:constr type="t" for="ch" forName="wedge5Tx" refType="h" fact="0.58"/>
              <dgm:constr type="w" for="ch" forName="wedge5Tx" refType="w" fact="0.22"/>
              <dgm:constr type="h" for="ch" forName="wedge5Tx" refType="h" fact="0.16"/>
              <dgm:constr type="l" for="ch" forName="wedge6" refType="w" fact="0.08"/>
              <dgm:constr type="t" for="ch" forName="wedge6" refType="h" fact="0.08"/>
              <dgm:constr type="w" for="ch" forName="wedge6" refType="w" fact="0.84"/>
              <dgm:constr type="h" for="ch" forName="wedge6" refType="h" fact="0.84"/>
              <dgm:constr type="l" for="ch" forName="wedge6Tx" refType="w" fact="0.101"/>
              <dgm:constr type="t" for="ch" forName="wedge6Tx" refType="h" fact="0.38"/>
              <dgm:constr type="w" for="ch" forName="wedge6Tx" refType="w" fact="0.244"/>
              <dgm:constr type="h" for="ch" forName="wedge6Tx" refType="h" fact="0.155"/>
              <dgm:constr type="l" for="ch" forName="wedge7" refType="w" fact="0.0583"/>
              <dgm:constr type="t" for="ch" forName="wedge7" refType="h" fact="0.035"/>
              <dgm:constr type="w" for="ch" forName="wedge7" refType="w" fact="0.84"/>
              <dgm:constr type="h" for="ch" forName="wedge7" refType="h" fact="0.84"/>
              <dgm:constr type="l" for="ch" forName="wedge7Tx" refType="w" fact="0.2403"/>
              <dgm:constr type="t" for="ch" forName="wedge7Tx" refType="h" fact="0.115"/>
              <dgm:constr type="w" for="ch" forName="wedge7Tx" refType="w" fact="0.23"/>
              <dgm:constr type="h" for="ch" forName="wedge7Tx" refType="h" fact="0.145"/>
              <dgm:constr type="primFontSz" for="ch" ptType="node" op="equ"/>
            </dgm:constrLst>
          </dgm:else>
        </dgm:choose>
      </dgm:else>
    </dgm:choose>
    <dgm:ruleLst/>
    <dgm:choose name="Name23">
      <dgm:if name="Name24" axis="ch" ptType="node" func="cnt" op="gte" val="1">
        <dgm:layoutNode name="wedge1">
          <dgm:alg type="sp"/>
          <dgm:choose name="Name25">
            <dgm:if name="Name26" axis="ch" ptType="node" func="cnt" op="equ" val="1">
              <dgm:shape xmlns:r="http://schemas.openxmlformats.org/officeDocument/2006/relationships" type="ellipse" r:blip="">
                <dgm:adjLst/>
              </dgm:shape>
            </dgm:if>
            <dgm:if name="Name27" axis="ch" ptType="node" func="cnt" op="equ" val="2">
              <dgm:shape xmlns:r="http://schemas.openxmlformats.org/officeDocument/2006/relationships" type="pie" r:blip="">
                <dgm:adjLst>
                  <dgm:adj idx="1" val="270"/>
                  <dgm:adj idx="2" val="90"/>
                </dgm:adjLst>
              </dgm:shape>
            </dgm:if>
            <dgm:if name="Name28" axis="ch" ptType="node" func="cnt" op="equ" val="3">
              <dgm:shape xmlns:r="http://schemas.openxmlformats.org/officeDocument/2006/relationships" type="pie" r:blip="">
                <dgm:adjLst>
                  <dgm:adj idx="1" val="270"/>
                  <dgm:adj idx="2" val="30"/>
                </dgm:adjLst>
              </dgm:shape>
            </dgm:if>
            <dgm:if name="Name29" axis="ch" ptType="node" func="cnt" op="equ" val="4">
              <dgm:shape xmlns:r="http://schemas.openxmlformats.org/officeDocument/2006/relationships" type="pie" r:blip="">
                <dgm:adjLst>
                  <dgm:adj idx="1" val="270"/>
                  <dgm:adj idx="2" val="0"/>
                </dgm:adjLst>
              </dgm:shape>
            </dgm:if>
            <dgm:if name="Name30" axis="ch" ptType="node" func="cnt" op="equ" val="5">
              <dgm:shape xmlns:r="http://schemas.openxmlformats.org/officeDocument/2006/relationships" type="pie" r:blip="">
                <dgm:adjLst>
                  <dgm:adj idx="1" val="270"/>
                  <dgm:adj idx="2" val="342"/>
                </dgm:adjLst>
              </dgm:shape>
            </dgm:if>
            <dgm:if name="Name31" axis="ch" ptType="node" func="cnt" op="equ" val="6">
              <dgm:shape xmlns:r="http://schemas.openxmlformats.org/officeDocument/2006/relationships" type="pie" r:blip="">
                <dgm:adjLst>
                  <dgm:adj idx="1" val="270"/>
                  <dgm:adj idx="2" val="330"/>
                </dgm:adjLst>
              </dgm:shape>
            </dgm:if>
            <dgm:else name="Name32">
              <dgm:shape xmlns:r="http://schemas.openxmlformats.org/officeDocument/2006/relationships" type="pie" r:blip="">
                <dgm:adjLst>
                  <dgm:adj idx="1" val="270"/>
                  <dgm:adj idx="2" val="321.4286"/>
                </dgm:adjLst>
              </dgm:shape>
            </dgm:else>
          </dgm:choose>
          <dgm:choose name="Name33">
            <dgm:if name="Name34" func="var" arg="dir" op="equ" val="norm">
              <dgm:presOf axis="ch desOrSelf" ptType="node node" st="1 1" cnt="1 0"/>
            </dgm:if>
            <dgm:else name="Name35">
              <dgm:choose name="Name36">
                <dgm:if name="Name37" axis="ch" ptType="node" func="cnt" op="equ" val="1">
                  <dgm:presOf axis="ch desOrSelf" ptType="node node" st="1 1" cnt="1 0"/>
                </dgm:if>
                <dgm:if name="Name38" axis="ch" ptType="node" func="cnt" op="equ" val="2">
                  <dgm:presOf axis="ch desOrSelf" ptType="node node" st="2 1" cnt="1 0"/>
                </dgm:if>
                <dgm:if name="Name39" axis="ch" ptType="node" func="cnt" op="equ" val="3">
                  <dgm:presOf axis="ch desOrSelf" ptType="node node" st="3 1" cnt="1 0"/>
                </dgm:if>
                <dgm:if name="Name40" axis="ch" ptType="node" func="cnt" op="equ" val="4">
                  <dgm:presOf axis="ch desOrSelf" ptType="node node" st="4 1" cnt="1 0"/>
                </dgm:if>
                <dgm:if name="Name41" axis="ch" ptType="node" func="cnt" op="equ" val="5">
                  <dgm:presOf axis="ch desOrSelf" ptType="node node" st="5 1" cnt="1 0"/>
                </dgm:if>
                <dgm:if name="Name42" axis="ch" ptType="node" func="cnt" op="equ" val="6">
                  <dgm:presOf axis="ch desOrSelf" ptType="node node" st="6 1" cnt="1 0"/>
                </dgm:if>
                <dgm:else name="Name43">
                  <dgm:presOf axis="ch desOrSelf" ptType="node node" st="7 1" cnt="1 0"/>
                </dgm:else>
              </dgm:choose>
            </dgm:else>
          </dgm:choose>
          <dgm:constrLst/>
          <dgm:ruleLst/>
        </dgm:layoutNode>
        <dgm:layoutNode name="wedge1Tx" moveWith="wedge1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44">
            <dgm:if name="Name45" func="var" arg="dir" op="equ" val="norm">
              <dgm:presOf axis="ch desOrSelf" ptType="node node" st="1 1" cnt="1 0"/>
            </dgm:if>
            <dgm:else name="Name46">
              <dgm:choose name="Name47">
                <dgm:if name="Name48" axis="ch" ptType="node" func="cnt" op="equ" val="1">
                  <dgm:presOf axis="ch desOrSelf" ptType="node node" st="1 1" cnt="1 0"/>
                </dgm:if>
                <dgm:if name="Name49" axis="ch" ptType="node" func="cnt" op="equ" val="2">
                  <dgm:presOf axis="ch desOrSelf" ptType="node node" st="2 1" cnt="1 0"/>
                </dgm:if>
                <dgm:if name="Name50" axis="ch" ptType="node" func="cnt" op="equ" val="3">
                  <dgm:presOf axis="ch desOrSelf" ptType="node node" st="3 1" cnt="1 0"/>
                </dgm:if>
                <dgm:if name="Name51" axis="ch" ptType="node" func="cnt" op="equ" val="4">
                  <dgm:presOf axis="ch desOrSelf" ptType="node node" st="4 1" cnt="1 0"/>
                </dgm:if>
                <dgm:if name="Name52" axis="ch" ptType="node" func="cnt" op="equ" val="5">
                  <dgm:presOf axis="ch desOrSelf" ptType="node node" st="5 1" cnt="1 0"/>
                </dgm:if>
                <dgm:if name="Name53" axis="ch" ptType="node" func="cnt" op="equ" val="6">
                  <dgm:presOf axis="ch desOrSelf" ptType="node node" st="6 1" cnt="1 0"/>
                </dgm:if>
                <dgm:else name="Name54">
                  <dgm:presOf axis="ch desOrSelf" ptType="node node" st="7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55"/>
    </dgm:choose>
    <dgm:choose name="Name56">
      <dgm:if name="Name57" axis="ch" ptType="node" func="cnt" op="gte" val="2">
        <dgm:layoutNode name="wedge2">
          <dgm:alg type="sp"/>
          <dgm:choose name="Name58">
            <dgm:if name="Name59" axis="ch" ptType="node" func="cnt" op="equ" val="2">
              <dgm:shape xmlns:r="http://schemas.openxmlformats.org/officeDocument/2006/relationships" type="pie" r:blip="">
                <dgm:adjLst>
                  <dgm:adj idx="1" val="90"/>
                  <dgm:adj idx="2" val="270"/>
                </dgm:adjLst>
              </dgm:shape>
            </dgm:if>
            <dgm:if name="Name60" axis="ch" ptType="node" func="cnt" op="equ" val="3">
              <dgm:shape xmlns:r="http://schemas.openxmlformats.org/officeDocument/2006/relationships" type="pie" r:blip="">
                <dgm:adjLst>
                  <dgm:adj idx="1" val="30"/>
                  <dgm:adj idx="2" val="150"/>
                </dgm:adjLst>
              </dgm:shape>
            </dgm:if>
            <dgm:if name="Name61" axis="ch" ptType="node" func="cnt" op="equ" val="4">
              <dgm:shape xmlns:r="http://schemas.openxmlformats.org/officeDocument/2006/relationships" type="pie" r:blip="">
                <dgm:adjLst>
                  <dgm:adj idx="1" val="0"/>
                  <dgm:adj idx="2" val="90"/>
                </dgm:adjLst>
              </dgm:shape>
            </dgm:if>
            <dgm:if name="Name62" axis="ch" ptType="node" func="cnt" op="equ" val="5">
              <dgm:shape xmlns:r="http://schemas.openxmlformats.org/officeDocument/2006/relationships" type="pie" r:blip="">
                <dgm:adjLst>
                  <dgm:adj idx="1" val="342"/>
                  <dgm:adj idx="2" val="54"/>
                </dgm:adjLst>
              </dgm:shape>
            </dgm:if>
            <dgm:if name="Name63" axis="ch" ptType="node" func="cnt" op="equ" val="6">
              <dgm:shape xmlns:r="http://schemas.openxmlformats.org/officeDocument/2006/relationships" type="pie" r:blip="">
                <dgm:adjLst>
                  <dgm:adj idx="1" val="330"/>
                  <dgm:adj idx="2" val="30"/>
                </dgm:adjLst>
              </dgm:shape>
            </dgm:if>
            <dgm:else name="Name64">
              <dgm:shape xmlns:r="http://schemas.openxmlformats.org/officeDocument/2006/relationships" type="pie" r:blip="">
                <dgm:adjLst>
                  <dgm:adj idx="1" val="321.4286"/>
                  <dgm:adj idx="2" val="12.85714"/>
                </dgm:adjLst>
              </dgm:shape>
            </dgm:else>
          </dgm:choose>
          <dgm:choose name="Name65">
            <dgm:if name="Name66" func="var" arg="dir" op="equ" val="norm">
              <dgm:presOf axis="ch desOrSelf" ptType="node node" st="2 1" cnt="1 0"/>
            </dgm:if>
            <dgm:else name="Name67">
              <dgm:choose name="Name68">
                <dgm:if name="Name69" axis="ch" ptType="node" func="cnt" op="equ" val="2">
                  <dgm:presOf axis="ch desOrSelf" ptType="node node" st="1 1" cnt="1 0"/>
                </dgm:if>
                <dgm:if name="Name70" axis="ch" ptType="node" func="cnt" op="equ" val="3">
                  <dgm:presOf axis="ch desOrSelf" ptType="node node" st="2 1" cnt="1 0"/>
                </dgm:if>
                <dgm:if name="Name71" axis="ch" ptType="node" func="cnt" op="equ" val="4">
                  <dgm:presOf axis="ch desOrSelf" ptType="node node" st="3 1" cnt="1 0"/>
                </dgm:if>
                <dgm:if name="Name72" axis="ch" ptType="node" func="cnt" op="equ" val="5">
                  <dgm:presOf axis="ch desOrSelf" ptType="node node" st="4 1" cnt="1 0"/>
                </dgm:if>
                <dgm:if name="Name73" axis="ch" ptType="node" func="cnt" op="equ" val="6">
                  <dgm:presOf axis="ch desOrSelf" ptType="node node" st="5 1" cnt="1 0"/>
                </dgm:if>
                <dgm:else name="Name74">
                  <dgm:presOf axis="ch desOrSelf" ptType="node node" st="6 1" cnt="1 0"/>
                </dgm:else>
              </dgm:choose>
            </dgm:else>
          </dgm:choose>
          <dgm:constrLst/>
          <dgm:ruleLst/>
        </dgm:layoutNode>
        <dgm:layoutNode name="wedge2Tx" moveWith="wedge2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75">
            <dgm:if name="Name76" func="var" arg="dir" op="equ" val="norm">
              <dgm:presOf axis="ch desOrSelf" ptType="node node" st="2 1" cnt="1 0"/>
            </dgm:if>
            <dgm:else name="Name77">
              <dgm:choose name="Name78">
                <dgm:if name="Name79" axis="ch" ptType="node" func="cnt" op="equ" val="2">
                  <dgm:presOf axis="ch desOrSelf" ptType="node node" st="1 1" cnt="1 0"/>
                </dgm:if>
                <dgm:if name="Name80" axis="ch" ptType="node" func="cnt" op="equ" val="3">
                  <dgm:presOf axis="ch desOrSelf" ptType="node node" st="2 1" cnt="1 0"/>
                </dgm:if>
                <dgm:if name="Name81" axis="ch" ptType="node" func="cnt" op="equ" val="4">
                  <dgm:presOf axis="ch desOrSelf" ptType="node node" st="3 1" cnt="1 0"/>
                </dgm:if>
                <dgm:if name="Name82" axis="ch" ptType="node" func="cnt" op="equ" val="5">
                  <dgm:presOf axis="ch desOrSelf" ptType="node node" st="4 1" cnt="1 0"/>
                </dgm:if>
                <dgm:if name="Name83" axis="ch" ptType="node" func="cnt" op="equ" val="6">
                  <dgm:presOf axis="ch desOrSelf" ptType="node node" st="5 1" cnt="1 0"/>
                </dgm:if>
                <dgm:else name="Name84">
                  <dgm:presOf axis="ch desOrSelf" ptType="node node" st="6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85"/>
    </dgm:choose>
    <dgm:choose name="Name86">
      <dgm:if name="Name87" axis="ch" ptType="node" func="cnt" op="gte" val="3">
        <dgm:layoutNode name="wedge3">
          <dgm:alg type="sp"/>
          <dgm:choose name="Name88">
            <dgm:if name="Name89" axis="ch" ptType="node" func="cnt" op="equ" val="3">
              <dgm:shape xmlns:r="http://schemas.openxmlformats.org/officeDocument/2006/relationships" type="pie" r:blip="">
                <dgm:adjLst>
                  <dgm:adj idx="1" val="150"/>
                  <dgm:adj idx="2" val="270"/>
                </dgm:adjLst>
              </dgm:shape>
            </dgm:if>
            <dgm:if name="Name90" axis="ch" ptType="node" func="cnt" op="equ" val="4">
              <dgm:shape xmlns:r="http://schemas.openxmlformats.org/officeDocument/2006/relationships" type="pie" r:blip="">
                <dgm:adjLst>
                  <dgm:adj idx="1" val="90"/>
                  <dgm:adj idx="2" val="180"/>
                </dgm:adjLst>
              </dgm:shape>
            </dgm:if>
            <dgm:if name="Name91" axis="ch" ptType="node" func="cnt" op="equ" val="5">
              <dgm:shape xmlns:r="http://schemas.openxmlformats.org/officeDocument/2006/relationships" type="pie" r:blip="">
                <dgm:adjLst>
                  <dgm:adj idx="1" val="54"/>
                  <dgm:adj idx="2" val="126"/>
                </dgm:adjLst>
              </dgm:shape>
            </dgm:if>
            <dgm:if name="Name92" axis="ch" ptType="node" func="cnt" op="equ" val="6">
              <dgm:shape xmlns:r="http://schemas.openxmlformats.org/officeDocument/2006/relationships" type="pie" r:blip="">
                <dgm:adjLst>
                  <dgm:adj idx="1" val="30"/>
                  <dgm:adj idx="2" val="90"/>
                </dgm:adjLst>
              </dgm:shape>
            </dgm:if>
            <dgm:else name="Name93">
              <dgm:shape xmlns:r="http://schemas.openxmlformats.org/officeDocument/2006/relationships" type="pie" r:blip="">
                <dgm:adjLst>
                  <dgm:adj idx="1" val="12.85714"/>
                  <dgm:adj idx="2" val="64.28571"/>
                </dgm:adjLst>
              </dgm:shape>
            </dgm:else>
          </dgm:choose>
          <dgm:choose name="Name94">
            <dgm:if name="Name95" func="var" arg="dir" op="equ" val="norm">
              <dgm:presOf axis="ch desOrSelf" ptType="node node" st="3 1" cnt="1 0"/>
            </dgm:if>
            <dgm:else name="Name96">
              <dgm:choose name="Name97">
                <dgm:if name="Name98" axis="ch" ptType="node" func="cnt" op="equ" val="3">
                  <dgm:presOf axis="ch desOrSelf" ptType="node node" st="1 1" cnt="1 0"/>
                </dgm:if>
                <dgm:if name="Name99" axis="ch" ptType="node" func="cnt" op="equ" val="4">
                  <dgm:presOf axis="ch desOrSelf" ptType="node node" st="2 1" cnt="1 0"/>
                </dgm:if>
                <dgm:if name="Name100" axis="ch" ptType="node" func="cnt" op="equ" val="5">
                  <dgm:presOf axis="ch desOrSelf" ptType="node node" st="3 1" cnt="1 0"/>
                </dgm:if>
                <dgm:if name="Name101" axis="ch" ptType="node" func="cnt" op="equ" val="6">
                  <dgm:presOf axis="ch desOrSelf" ptType="node node" st="4 1" cnt="1 0"/>
                </dgm:if>
                <dgm:else name="Name102">
                  <dgm:presOf axis="ch desOrSelf" ptType="node node" st="5 1" cnt="1 0"/>
                </dgm:else>
              </dgm:choose>
            </dgm:else>
          </dgm:choose>
          <dgm:constrLst/>
          <dgm:ruleLst/>
        </dgm:layoutNode>
        <dgm:layoutNode name="wedge3Tx" moveWith="wedge3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03">
            <dgm:if name="Name104" func="var" arg="dir" op="equ" val="norm">
              <dgm:presOf axis="ch desOrSelf" ptType="node node" st="3 1" cnt="1 0"/>
            </dgm:if>
            <dgm:else name="Name105">
              <dgm:choose name="Name106">
                <dgm:if name="Name107" axis="ch" ptType="node" func="cnt" op="equ" val="3">
                  <dgm:presOf axis="ch desOrSelf" ptType="node node" st="1 1" cnt="1 0"/>
                </dgm:if>
                <dgm:if name="Name108" axis="ch" ptType="node" func="cnt" op="equ" val="4">
                  <dgm:presOf axis="ch desOrSelf" ptType="node node" st="2 1" cnt="1 0"/>
                </dgm:if>
                <dgm:if name="Name109" axis="ch" ptType="node" func="cnt" op="equ" val="5">
                  <dgm:presOf axis="ch desOrSelf" ptType="node node" st="3 1" cnt="1 0"/>
                </dgm:if>
                <dgm:if name="Name110" axis="ch" ptType="node" func="cnt" op="equ" val="6">
                  <dgm:presOf axis="ch desOrSelf" ptType="node node" st="4 1" cnt="1 0"/>
                </dgm:if>
                <dgm:else name="Name111">
                  <dgm:presOf axis="ch desOrSelf" ptType="node node" st="5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12"/>
    </dgm:choose>
    <dgm:choose name="Name113">
      <dgm:if name="Name114" axis="ch" ptType="node" func="cnt" op="gte" val="4">
        <dgm:layoutNode name="wedge4">
          <dgm:alg type="sp"/>
          <dgm:choose name="Name115">
            <dgm:if name="Name116" axis="ch" ptType="node" func="cnt" op="equ" val="4">
              <dgm:shape xmlns:r="http://schemas.openxmlformats.org/officeDocument/2006/relationships" type="pie" r:blip="">
                <dgm:adjLst>
                  <dgm:adj idx="1" val="180"/>
                  <dgm:adj idx="2" val="270"/>
                </dgm:adjLst>
              </dgm:shape>
            </dgm:if>
            <dgm:if name="Name117" axis="ch" ptType="node" func="cnt" op="equ" val="5">
              <dgm:shape xmlns:r="http://schemas.openxmlformats.org/officeDocument/2006/relationships" type="pie" r:blip="">
                <dgm:adjLst>
                  <dgm:adj idx="1" val="126"/>
                  <dgm:adj idx="2" val="198"/>
                </dgm:adjLst>
              </dgm:shape>
            </dgm:if>
            <dgm:if name="Name118" axis="ch" ptType="node" func="cnt" op="equ" val="6">
              <dgm:shape xmlns:r="http://schemas.openxmlformats.org/officeDocument/2006/relationships" type="pie" r:blip="">
                <dgm:adjLst>
                  <dgm:adj idx="1" val="90"/>
                  <dgm:adj idx="2" val="150"/>
                </dgm:adjLst>
              </dgm:shape>
            </dgm:if>
            <dgm:else name="Name119">
              <dgm:shape xmlns:r="http://schemas.openxmlformats.org/officeDocument/2006/relationships" type="pie" r:blip="">
                <dgm:adjLst>
                  <dgm:adj idx="1" val="64.2871"/>
                  <dgm:adj idx="2" val="115.7143"/>
                </dgm:adjLst>
              </dgm:shape>
            </dgm:else>
          </dgm:choose>
          <dgm:choose name="Name120">
            <dgm:if name="Name121" func="var" arg="dir" op="equ" val="norm">
              <dgm:presOf axis="ch desOrSelf" ptType="node node" st="4 1" cnt="1 0"/>
            </dgm:if>
            <dgm:else name="Name122">
              <dgm:choose name="Name123">
                <dgm:if name="Name124" axis="ch" ptType="node" func="cnt" op="equ" val="4">
                  <dgm:presOf axis="ch desOrSelf" ptType="node node" st="1 1" cnt="1 0"/>
                </dgm:if>
                <dgm:if name="Name125" axis="ch" ptType="node" func="cnt" op="equ" val="5">
                  <dgm:presOf axis="ch desOrSelf" ptType="node node" st="2 1" cnt="1 0"/>
                </dgm:if>
                <dgm:if name="Name126" axis="ch" ptType="node" func="cnt" op="equ" val="6">
                  <dgm:presOf axis="ch desOrSelf" ptType="node node" st="3 1" cnt="1 0"/>
                </dgm:if>
                <dgm:else name="Name127">
                  <dgm:presOf axis="ch desOrSelf" ptType="node node" st="4 1" cnt="1 0"/>
                </dgm:else>
              </dgm:choose>
            </dgm:else>
          </dgm:choose>
          <dgm:constrLst/>
          <dgm:ruleLst/>
        </dgm:layoutNode>
        <dgm:layoutNode name="wedge4Tx" moveWith="wedge4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28">
            <dgm:if name="Name129" func="var" arg="dir" op="equ" val="norm">
              <dgm:presOf axis="ch desOrSelf" ptType="node node" st="4 1" cnt="1 0"/>
            </dgm:if>
            <dgm:else name="Name130">
              <dgm:choose name="Name131">
                <dgm:if name="Name132" axis="ch" ptType="node" func="cnt" op="equ" val="4">
                  <dgm:presOf axis="ch desOrSelf" ptType="node node" st="1 1" cnt="1 0"/>
                </dgm:if>
                <dgm:if name="Name133" axis="ch" ptType="node" func="cnt" op="equ" val="5">
                  <dgm:presOf axis="ch desOrSelf" ptType="node node" st="2 1" cnt="1 0"/>
                </dgm:if>
                <dgm:if name="Name134" axis="ch" ptType="node" func="cnt" op="equ" val="6">
                  <dgm:presOf axis="ch desOrSelf" ptType="node node" st="3 1" cnt="1 0"/>
                </dgm:if>
                <dgm:else name="Name135">
                  <dgm:presOf axis="ch desOrSelf" ptType="node node" st="4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36"/>
    </dgm:choose>
    <dgm:choose name="Name137">
      <dgm:if name="Name138" axis="ch" ptType="node" func="cnt" op="gte" val="5">
        <dgm:layoutNode name="wedge5">
          <dgm:alg type="sp"/>
          <dgm:choose name="Name139">
            <dgm:if name="Name140" axis="ch" ptType="node" func="cnt" op="equ" val="5">
              <dgm:shape xmlns:r="http://schemas.openxmlformats.org/officeDocument/2006/relationships" type="pie" r:blip="">
                <dgm:adjLst>
                  <dgm:adj idx="1" val="198"/>
                  <dgm:adj idx="2" val="270"/>
                </dgm:adjLst>
              </dgm:shape>
            </dgm:if>
            <dgm:if name="Name141" axis="ch" ptType="node" func="cnt" op="equ" val="6">
              <dgm:shape xmlns:r="http://schemas.openxmlformats.org/officeDocument/2006/relationships" type="pie" r:blip="">
                <dgm:adjLst>
                  <dgm:adj idx="1" val="150"/>
                  <dgm:adj idx="2" val="210"/>
                </dgm:adjLst>
              </dgm:shape>
            </dgm:if>
            <dgm:else name="Name142">
              <dgm:shape xmlns:r="http://schemas.openxmlformats.org/officeDocument/2006/relationships" type="pie" r:blip="">
                <dgm:adjLst>
                  <dgm:adj idx="1" val="115.7143"/>
                  <dgm:adj idx="2" val="167.1429"/>
                </dgm:adjLst>
              </dgm:shape>
            </dgm:else>
          </dgm:choose>
          <dgm:choose name="Name143">
            <dgm:if name="Name144" func="var" arg="dir" op="equ" val="norm">
              <dgm:presOf axis="ch desOrSelf" ptType="node node" st="5 1" cnt="1 0"/>
            </dgm:if>
            <dgm:else name="Name145">
              <dgm:choose name="Name146">
                <dgm:if name="Name147" axis="ch" ptType="node" func="cnt" op="equ" val="5">
                  <dgm:presOf axis="ch desOrSelf" ptType="node node" st="1 1" cnt="1 0"/>
                </dgm:if>
                <dgm:if name="Name148" axis="ch" ptType="node" func="cnt" op="equ" val="6">
                  <dgm:presOf axis="ch desOrSelf" ptType="node node" st="2 1" cnt="1 0"/>
                </dgm:if>
                <dgm:else name="Name149">
                  <dgm:presOf axis="ch desOrSelf" ptType="node node" st="3 1" cnt="1 0"/>
                </dgm:else>
              </dgm:choose>
            </dgm:else>
          </dgm:choose>
          <dgm:constrLst/>
          <dgm:ruleLst/>
        </dgm:layoutNode>
        <dgm:layoutNode name="wedge5Tx" moveWith="wedge5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50">
            <dgm:if name="Name151" func="var" arg="dir" op="equ" val="norm">
              <dgm:presOf axis="ch desOrSelf" ptType="node node" st="5 1" cnt="1 0"/>
            </dgm:if>
            <dgm:else name="Name152">
              <dgm:choose name="Name153">
                <dgm:if name="Name154" axis="ch" ptType="node" func="cnt" op="equ" val="5">
                  <dgm:presOf axis="ch desOrSelf" ptType="node node" st="1 1" cnt="1 0"/>
                </dgm:if>
                <dgm:if name="Name155" axis="ch" ptType="node" func="cnt" op="equ" val="6">
                  <dgm:presOf axis="ch desOrSelf" ptType="node node" st="2 1" cnt="1 0"/>
                </dgm:if>
                <dgm:else name="Name156">
                  <dgm:presOf axis="ch desOrSelf" ptType="node node" st="3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57"/>
    </dgm:choose>
    <dgm:choose name="Name158">
      <dgm:if name="Name159" axis="ch" ptType="node" func="cnt" op="gte" val="6">
        <dgm:layoutNode name="wedge6">
          <dgm:alg type="sp"/>
          <dgm:choose name="Name160">
            <dgm:if name="Name161" axis="ch" ptType="node" func="cnt" op="equ" val="6">
              <dgm:shape xmlns:r="http://schemas.openxmlformats.org/officeDocument/2006/relationships" type="pie" r:blip="">
                <dgm:adjLst>
                  <dgm:adj idx="1" val="210"/>
                  <dgm:adj idx="2" val="270"/>
                </dgm:adjLst>
              </dgm:shape>
            </dgm:if>
            <dgm:else name="Name162">
              <dgm:shape xmlns:r="http://schemas.openxmlformats.org/officeDocument/2006/relationships" type="pie" r:blip="">
                <dgm:adjLst>
                  <dgm:adj idx="1" val="167.1429"/>
                  <dgm:adj idx="2" val="218.5714"/>
                </dgm:adjLst>
              </dgm:shape>
            </dgm:else>
          </dgm:choose>
          <dgm:choose name="Name163">
            <dgm:if name="Name164" func="var" arg="dir" op="equ" val="norm">
              <dgm:presOf axis="ch desOrSelf" ptType="node node" st="6 1" cnt="1 0"/>
            </dgm:if>
            <dgm:else name="Name165">
              <dgm:choose name="Name166">
                <dgm:if name="Name167" axis="ch" ptType="node" func="cnt" op="equ" val="6">
                  <dgm:presOf axis="ch desOrSelf" ptType="node node" st="1 1" cnt="1 0"/>
                </dgm:if>
                <dgm:else name="Name168">
                  <dgm:presOf axis="ch desOrSelf" ptType="node node" st="2 1" cnt="1 0"/>
                </dgm:else>
              </dgm:choose>
            </dgm:else>
          </dgm:choose>
          <dgm:constrLst/>
          <dgm:ruleLst/>
        </dgm:layoutNode>
        <dgm:layoutNode name="wedge6Tx" moveWith="wedge6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69">
            <dgm:if name="Name170" func="var" arg="dir" op="equ" val="norm">
              <dgm:presOf axis="ch desOrSelf" ptType="node node" st="6 1" cnt="1 0"/>
            </dgm:if>
            <dgm:else name="Name171">
              <dgm:choose name="Name172">
                <dgm:if name="Name173" axis="ch" ptType="node" func="cnt" op="equ" val="6">
                  <dgm:presOf axis="ch desOrSelf" ptType="node node" st="1 1" cnt="1 0"/>
                </dgm:if>
                <dgm:else name="Name174">
                  <dgm:presOf axis="ch desOrSelf" ptType="node node" st="2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75"/>
    </dgm:choose>
    <dgm:choose name="Name176">
      <dgm:if name="Name177" axis="ch" ptType="node" func="cnt" op="gte" val="7">
        <dgm:layoutNode name="wedge7">
          <dgm:alg type="sp"/>
          <dgm:shape xmlns:r="http://schemas.openxmlformats.org/officeDocument/2006/relationships" type="pie" r:blip="">
            <dgm:adjLst>
              <dgm:adj idx="1" val="218.5714"/>
              <dgm:adj idx="2" val="270"/>
            </dgm:adjLst>
          </dgm:shape>
          <dgm:choose name="Name178">
            <dgm:if name="Name179" func="var" arg="dir" op="equ" val="norm">
              <dgm:presOf axis="ch desOrSelf" ptType="node node" st="7 1" cnt="1 0"/>
            </dgm:if>
            <dgm:else name="Name180">
              <dgm:presOf axis="ch desOrSelf" ptType="node node" st="1 1" cnt="1 0"/>
            </dgm:else>
          </dgm:choose>
          <dgm:constrLst/>
          <dgm:ruleLst/>
        </dgm:layoutNode>
        <dgm:layoutNode name="wedge7Tx" moveWith="wedge7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81">
            <dgm:if name="Name182" func="var" arg="dir" op="equ" val="norm">
              <dgm:presOf axis="ch desOrSelf" ptType="node node" st="7 1" cnt="1 0"/>
            </dgm:if>
            <dgm:else name="Name183">
              <dgm:presOf axis="ch desOrSelf" ptType="node node" st="1 1" cnt="1 0"/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84"/>
    </dgm:choos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cycle4">
  <dgm:title val=""/>
  <dgm:desc val=""/>
  <dgm:catLst>
    <dgm:cat type="relationship" pri="26000"/>
    <dgm:cat type="cycle" pri="13000"/>
    <dgm:cat type="matrix" pri="4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  <dgm:pt modelId="4">
          <dgm:prSet phldr="1"/>
        </dgm:pt>
        <dgm:pt modelId="41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cycleMatrixDiagram">
    <dgm:varLst>
      <dgm:chMax val="1"/>
      <dgm:dir/>
      <dgm:animLvl val="lvl"/>
      <dgm:resizeHandles val="exact"/>
    </dgm:varLst>
    <dgm:alg type="composite">
      <dgm:param type="ar" val="1.3"/>
    </dgm:alg>
    <dgm:shape xmlns:r="http://schemas.openxmlformats.org/officeDocument/2006/relationships" r:blip="">
      <dgm:adjLst/>
    </dgm:shape>
    <dgm:presOf/>
    <dgm:constrLst>
      <dgm:constr type="w" for="ch" forName="children" refType="w"/>
      <dgm:constr type="h" for="ch" forName="children" refType="w" refFor="ch" refForName="children" fact="0.77"/>
      <dgm:constr type="ctrX" for="ch" forName="children" refType="w" fact="0.5"/>
      <dgm:constr type="ctrY" for="ch" forName="children" refType="h" fact="0.5"/>
      <dgm:constr type="w" for="ch" forName="circle" refType="w"/>
      <dgm:constr type="h" for="ch" forName="circle" refType="h"/>
      <dgm:constr type="ctrX" for="ch" forName="circle" refType="w" fact="0.5"/>
      <dgm:constr type="ctrY" for="ch" forName="circle" refType="h" fact="0.5"/>
      <dgm:constr type="w" for="ch" forName="center1" refType="w" fact="0.115"/>
      <dgm:constr type="h" for="ch" forName="center1" refType="w" fact="0.1"/>
      <dgm:constr type="ctrX" for="ch" forName="center1" refType="w" fact="0.5"/>
      <dgm:constr type="ctrY" for="ch" forName="center1" refType="h" fact="0.475"/>
      <dgm:constr type="w" for="ch" forName="center2" refType="w" fact="0.115"/>
      <dgm:constr type="h" for="ch" forName="center2" refType="w" fact="0.1"/>
      <dgm:constr type="ctrX" for="ch" forName="center2" refType="w" fact="0.5"/>
      <dgm:constr type="ctrY" for="ch" forName="center2" refType="h" fact="0.525"/>
    </dgm:constrLst>
    <dgm:ruleLst/>
    <dgm:choose name="Name0">
      <dgm:if name="Name1" axis="ch" ptType="node" func="cnt" op="gte" val="1">
        <dgm:layoutNode name="children">
          <dgm:alg type="composite">
            <dgm:param type="ar" val="1.3"/>
          </dgm:alg>
          <dgm:shape xmlns:r="http://schemas.openxmlformats.org/officeDocument/2006/relationships" r:blip="">
            <dgm:adjLst/>
          </dgm:shape>
          <dgm:presOf/>
          <dgm:choose name="Name2">
            <dgm:if name="Name3" func="var" arg="dir" op="equ" val="norm">
              <dgm:constrLst>
                <dgm:constr type="primFontSz" for="des" ptType="node" op="equ" val="65"/>
                <dgm:constr type="w" for="ch" forName="child1group" refType="w" fact="0.38"/>
                <dgm:constr type="h" for="ch" forName="child1group" refType="h" fact="0.32"/>
                <dgm:constr type="t" for="ch" forName="child1group"/>
                <dgm:constr type="l" for="ch" forName="child1group"/>
                <dgm:constr type="w" for="ch" forName="child2group" refType="w" fact="0.38"/>
                <dgm:constr type="h" for="ch" forName="child2group" refType="h" fact="0.32"/>
                <dgm:constr type="t" for="ch" forName="child2group"/>
                <dgm:constr type="r" for="ch" forName="child2group" refType="w"/>
                <dgm:constr type="w" for="ch" forName="child3group" refType="w" fact="0.38"/>
                <dgm:constr type="h" for="ch" forName="child3group" refType="h" fact="0.32"/>
                <dgm:constr type="b" for="ch" forName="child3group" refType="h"/>
                <dgm:constr type="r" for="ch" forName="child3group" refType="w"/>
                <dgm:constr type="w" for="ch" forName="child4group" refType="w" fact="0.38"/>
                <dgm:constr type="h" for="ch" forName="child4group" refType="h" fact="0.32"/>
                <dgm:constr type="b" for="ch" forName="child4group" refType="h"/>
                <dgm:constr type="l" for="ch" forName="child4group"/>
              </dgm:constrLst>
            </dgm:if>
            <dgm:else name="Name4">
              <dgm:constrLst>
                <dgm:constr type="primFontSz" for="des" ptType="node" op="equ" val="65"/>
                <dgm:constr type="w" for="ch" forName="child1group" refType="w" fact="0.38"/>
                <dgm:constr type="h" for="ch" forName="child1group" refType="h" fact="0.32"/>
                <dgm:constr type="t" for="ch" forName="child1group"/>
                <dgm:constr type="r" for="ch" forName="child1group" refType="w"/>
                <dgm:constr type="w" for="ch" forName="child2group" refType="w" fact="0.38"/>
                <dgm:constr type="h" for="ch" forName="child2group" refType="h" fact="0.32"/>
                <dgm:constr type="t" for="ch" forName="child2group"/>
                <dgm:constr type="l" for="ch" forName="child2group"/>
                <dgm:constr type="w" for="ch" forName="child3group" refType="w" fact="0.38"/>
                <dgm:constr type="h" for="ch" forName="child3group" refType="h" fact="0.32"/>
                <dgm:constr type="b" for="ch" forName="child3group" refType="h"/>
                <dgm:constr type="l" for="ch" forName="child3group"/>
                <dgm:constr type="w" for="ch" forName="child4group" refType="w" fact="0.38"/>
                <dgm:constr type="h" for="ch" forName="child4group" refType="h" fact="0.32"/>
                <dgm:constr type="b" for="ch" forName="child4group" refType="h"/>
                <dgm:constr type="r" for="ch" forName="child4group" refType="w"/>
              </dgm:constrLst>
            </dgm:else>
          </dgm:choose>
          <dgm:ruleLst/>
          <dgm:choose name="Name5">
            <dgm:if name="Name6" axis="ch ch" ptType="node node" st="1 1" cnt="1 0" func="cnt" op="gte" val="1">
              <dgm:layoutNode name="child1group">
                <dgm:alg type="composite">
                  <dgm:param type="horzAlign" val="none"/>
                  <dgm:param type="vertAlign" val="none"/>
                </dgm:alg>
                <dgm:shape xmlns:r="http://schemas.openxmlformats.org/officeDocument/2006/relationships" r:blip="">
                  <dgm:adjLst/>
                </dgm:shape>
                <dgm:presOf/>
                <dgm:choose name="Name7">
                  <dgm:if name="Name8" func="var" arg="dir" op="equ" val="norm">
                    <dgm:constrLst>
                      <dgm:constr type="w" for="ch" forName="child1" refType="w"/>
                      <dgm:constr type="h" for="ch" forName="child1" refType="h"/>
                      <dgm:constr type="t" for="ch" forName="child1"/>
                      <dgm:constr type="l" for="ch" forName="child1"/>
                      <dgm:constr type="w" for="ch" forName="child1Text" refType="w" fact="0.7"/>
                      <dgm:constr type="h" for="ch" forName="child1Text" refType="h" fact="0.75"/>
                      <dgm:constr type="t" for="ch" forName="child1Text"/>
                      <dgm:constr type="l" for="ch" forName="child1Text"/>
                    </dgm:constrLst>
                  </dgm:if>
                  <dgm:else name="Name9">
                    <dgm:constrLst>
                      <dgm:constr type="w" for="ch" forName="child1" refType="w"/>
                      <dgm:constr type="h" for="ch" forName="child1" refType="h"/>
                      <dgm:constr type="t" for="ch" forName="child1"/>
                      <dgm:constr type="r" for="ch" forName="child1" refType="w"/>
                      <dgm:constr type="w" for="ch" forName="child1Text" refType="w" fact="0.7"/>
                      <dgm:constr type="h" for="ch" forName="child1Text" refType="h" fact="0.75"/>
                      <dgm:constr type="t" for="ch" forName="child1Text"/>
                      <dgm:constr type="r" for="ch" forName="child1Text" refType="w"/>
                    </dgm:constrLst>
                  </dgm:else>
                </dgm:choose>
                <dgm:ruleLst/>
                <dgm:layoutNode name="child1" styleLbl="bgAcc1">
                  <dgm:alg type="sp"/>
                  <dgm:shape xmlns:r="http://schemas.openxmlformats.org/officeDocument/2006/relationships" type="roundRect" r:blip="" zOrderOff="-2">
                    <dgm:adjLst>
                      <dgm:adj idx="1" val="0.1"/>
                    </dgm:adjLst>
                  </dgm:shape>
                  <dgm:presOf axis="ch des" ptType="node node" st="1 1" cnt="1 0"/>
                  <dgm:constrLst/>
                  <dgm:ruleLst/>
                </dgm:layoutNode>
                <dgm:layoutNode name="child1Text" styleLbl="bgAcc1">
                  <dgm:varLst>
                    <dgm:bulletEnabled val="1"/>
                  </dgm:varLst>
                  <dgm:alg type="tx">
                    <dgm:param type="stBulletLvl" val="1"/>
                  </dgm:alg>
                  <dgm:shape xmlns:r="http://schemas.openxmlformats.org/officeDocument/2006/relationships" type="roundRect" r:blip="" zOrderOff="-2" hideGeom="1">
                    <dgm:adjLst>
                      <dgm:adj idx="1" val="0.1"/>
                    </dgm:adjLst>
                  </dgm:shape>
                  <dgm:presOf axis="ch des" ptType="node node" st="1 1" cnt="1 0"/>
                  <dgm:constrLst>
                    <dgm:constr type="tMarg" refType="primFontSz" fact="0.3"/>
                    <dgm:constr type="bMarg" refType="primFontSz" fact="0.3"/>
                    <dgm:constr type="lMarg" refType="primFontSz" fact="0.3"/>
                    <dgm:constr type="rMarg" refType="primFontSz" fact="0.3"/>
                  </dgm:constrLst>
                  <dgm:ruleLst>
                    <dgm:rule type="primFontSz" val="5" fact="NaN" max="NaN"/>
                  </dgm:ruleLst>
                </dgm:layoutNode>
              </dgm:layoutNode>
            </dgm:if>
            <dgm:else name="Name10"/>
          </dgm:choose>
          <dgm:choose name="Name11">
            <dgm:if name="Name12" axis="ch ch" ptType="node node" st="2 1" cnt="1 0" func="cnt" op="gte" val="1">
              <dgm:layoutNode name="child2group">
                <dgm:alg type="composite">
                  <dgm:param type="horzAlign" val="none"/>
                  <dgm:param type="vertAlign" val="none"/>
                </dgm:alg>
                <dgm:shape xmlns:r="http://schemas.openxmlformats.org/officeDocument/2006/relationships" r:blip="">
                  <dgm:adjLst/>
                </dgm:shape>
                <dgm:choose name="Name13">
                  <dgm:if name="Name14" func="var" arg="dir" op="equ" val="norm">
                    <dgm:constrLst>
                      <dgm:constr type="w" for="ch" forName="child2" refType="w"/>
                      <dgm:constr type="h" for="ch" forName="child2" refType="h"/>
                      <dgm:constr type="t" for="ch" forName="child2"/>
                      <dgm:constr type="r" for="ch" forName="child2" refType="w"/>
                      <dgm:constr type="w" for="ch" forName="child2Text" refType="w" fact="0.7"/>
                      <dgm:constr type="h" for="ch" forName="child2Text" refType="h" fact="0.75"/>
                      <dgm:constr type="t" for="ch" forName="child2Text"/>
                      <dgm:constr type="r" for="ch" forName="child2Text" refType="w"/>
                    </dgm:constrLst>
                  </dgm:if>
                  <dgm:else name="Name15">
                    <dgm:constrLst>
                      <dgm:constr type="w" for="ch" forName="child2" refType="w"/>
                      <dgm:constr type="h" for="ch" forName="child2" refType="h"/>
                      <dgm:constr type="t" for="ch" forName="child2"/>
                      <dgm:constr type="l" for="ch" forName="child2"/>
                      <dgm:constr type="w" for="ch" forName="child2Text" refType="w" fact="0.7"/>
                      <dgm:constr type="h" for="ch" forName="child2Text" refType="h" fact="0.75"/>
                      <dgm:constr type="t" for="ch" forName="child2Text"/>
                      <dgm:constr type="l" for="ch" forName="child2Text"/>
                    </dgm:constrLst>
                  </dgm:else>
                </dgm:choose>
                <dgm:ruleLst/>
                <dgm:layoutNode name="child2" styleLbl="bgAcc1">
                  <dgm:alg type="sp"/>
                  <dgm:shape xmlns:r="http://schemas.openxmlformats.org/officeDocument/2006/relationships" type="roundRect" r:blip="" zOrderOff="-2">
                    <dgm:adjLst>
                      <dgm:adj idx="1" val="0.1"/>
                    </dgm:adjLst>
                  </dgm:shape>
                  <dgm:presOf axis="ch des" ptType="node node" st="2 1" cnt="1 0"/>
                  <dgm:constrLst/>
                  <dgm:ruleLst/>
                </dgm:layoutNode>
                <dgm:layoutNode name="child2Text" styleLbl="bgAcc1">
                  <dgm:varLst>
                    <dgm:bulletEnabled val="1"/>
                  </dgm:varLst>
                  <dgm:alg type="tx">
                    <dgm:param type="stBulletLvl" val="1"/>
                  </dgm:alg>
                  <dgm:shape xmlns:r="http://schemas.openxmlformats.org/officeDocument/2006/relationships" type="roundRect" r:blip="" zOrderOff="-2" hideGeom="1">
                    <dgm:adjLst>
                      <dgm:adj idx="1" val="0.1"/>
                    </dgm:adjLst>
                  </dgm:shape>
                  <dgm:presOf axis="ch des" ptType="node node" st="2 1" cnt="1 0"/>
                  <dgm:constrLst>
                    <dgm:constr type="tMarg" refType="primFontSz" fact="0.3"/>
                    <dgm:constr type="bMarg" refType="primFontSz" fact="0.3"/>
                    <dgm:constr type="lMarg" refType="primFontSz" fact="0.3"/>
                    <dgm:constr type="rMarg" refType="primFontSz" fact="0.3"/>
                  </dgm:constrLst>
                  <dgm:ruleLst>
                    <dgm:rule type="primFontSz" val="5" fact="NaN" max="NaN"/>
                  </dgm:ruleLst>
                </dgm:layoutNode>
              </dgm:layoutNode>
            </dgm:if>
            <dgm:else name="Name16"/>
          </dgm:choose>
          <dgm:choose name="Name17">
            <dgm:if name="Name18" axis="ch ch" ptType="node node" st="3 1" cnt="1 0" func="cnt" op="gte" val="1">
              <dgm:layoutNode name="child3group">
                <dgm:alg type="composite">
                  <dgm:param type="horzAlign" val="none"/>
                  <dgm:param type="vertAlign" val="none"/>
                </dgm:alg>
                <dgm:shape xmlns:r="http://schemas.openxmlformats.org/officeDocument/2006/relationships" r:blip="">
                  <dgm:adjLst/>
                </dgm:shape>
                <dgm:presOf/>
                <dgm:choose name="Name19">
                  <dgm:if name="Name20" func="var" arg="dir" op="equ" val="norm">
                    <dgm:constrLst>
                      <dgm:constr type="w" for="ch" forName="child3" refType="w"/>
                      <dgm:constr type="h" for="ch" forName="child3" refType="h"/>
                      <dgm:constr type="b" for="ch" forName="child3" refType="h"/>
                      <dgm:constr type="r" for="ch" forName="child3" refType="w"/>
                      <dgm:constr type="w" for="ch" forName="child3Text" refType="w" fact="0.7"/>
                      <dgm:constr type="h" for="ch" forName="child3Text" refType="h" fact="0.75"/>
                      <dgm:constr type="b" for="ch" forName="child3Text" refType="h"/>
                      <dgm:constr type="r" for="ch" forName="child3Text" refType="w"/>
                    </dgm:constrLst>
                  </dgm:if>
                  <dgm:else name="Name21">
                    <dgm:constrLst>
                      <dgm:constr type="w" for="ch" forName="child3" refType="w"/>
                      <dgm:constr type="h" for="ch" forName="child3" refType="h"/>
                      <dgm:constr type="b" for="ch" forName="child3" refType="h"/>
                      <dgm:constr type="l" for="ch" forName="child3"/>
                      <dgm:constr type="w" for="ch" forName="child3Text" refType="w" fact="0.7"/>
                      <dgm:constr type="h" for="ch" forName="child3Text" refType="h" fact="0.75"/>
                      <dgm:constr type="b" for="ch" forName="child3Text" refType="h"/>
                      <dgm:constr type="l" for="ch" forName="child3Text"/>
                    </dgm:constrLst>
                  </dgm:else>
                </dgm:choose>
                <dgm:ruleLst/>
                <dgm:layoutNode name="child3" styleLbl="bgAcc1">
                  <dgm:alg type="sp"/>
                  <dgm:shape xmlns:r="http://schemas.openxmlformats.org/officeDocument/2006/relationships" type="roundRect" r:blip="" zOrderOff="-4">
                    <dgm:adjLst>
                      <dgm:adj idx="1" val="0.1"/>
                    </dgm:adjLst>
                  </dgm:shape>
                  <dgm:presOf axis="ch des" ptType="node node" st="3 1" cnt="1 0"/>
                  <dgm:constrLst/>
                  <dgm:ruleLst/>
                </dgm:layoutNode>
                <dgm:layoutNode name="child3Text" styleLbl="bgAcc1">
                  <dgm:varLst>
                    <dgm:bulletEnabled val="1"/>
                  </dgm:varLst>
                  <dgm:alg type="tx">
                    <dgm:param type="stBulletLvl" val="1"/>
                  </dgm:alg>
                  <dgm:shape xmlns:r="http://schemas.openxmlformats.org/officeDocument/2006/relationships" type="roundRect" r:blip="" zOrderOff="-4" hideGeom="1">
                    <dgm:adjLst>
                      <dgm:adj idx="1" val="0.1"/>
                    </dgm:adjLst>
                  </dgm:shape>
                  <dgm:presOf axis="ch des" ptType="node node" st="3 1" cnt="1 0"/>
                  <dgm:constrLst>
                    <dgm:constr type="tMarg" refType="primFontSz" fact="0.3"/>
                    <dgm:constr type="bMarg" refType="primFontSz" fact="0.3"/>
                    <dgm:constr type="lMarg" refType="primFontSz" fact="0.3"/>
                    <dgm:constr type="rMarg" refType="primFontSz" fact="0.3"/>
                  </dgm:constrLst>
                  <dgm:ruleLst>
                    <dgm:rule type="primFontSz" val="5" fact="NaN" max="NaN"/>
                  </dgm:ruleLst>
                </dgm:layoutNode>
              </dgm:layoutNode>
            </dgm:if>
            <dgm:else name="Name22"/>
          </dgm:choose>
          <dgm:choose name="Name23">
            <dgm:if name="Name24" axis="ch ch" ptType="node node" st="4 1" cnt="1 0" func="cnt" op="gte" val="1">
              <dgm:layoutNode name="child4group">
                <dgm:alg type="composite">
                  <dgm:param type="horzAlign" val="none"/>
                  <dgm:param type="vertAlign" val="none"/>
                </dgm:alg>
                <dgm:shape xmlns:r="http://schemas.openxmlformats.org/officeDocument/2006/relationships" r:blip="">
                  <dgm:adjLst/>
                </dgm:shape>
                <dgm:presOf/>
                <dgm:choose name="Name25">
                  <dgm:if name="Name26" func="var" arg="dir" op="equ" val="norm">
                    <dgm:constrLst>
                      <dgm:constr type="w" for="ch" forName="child4" refType="w"/>
                      <dgm:constr type="h" for="ch" forName="child4" refType="h"/>
                      <dgm:constr type="b" for="ch" forName="child4" refType="h"/>
                      <dgm:constr type="l" for="ch" forName="child4"/>
                      <dgm:constr type="w" for="ch" forName="child4Text" refType="w" fact="0.7"/>
                      <dgm:constr type="h" for="ch" forName="child4Text" refType="h" fact="0.75"/>
                      <dgm:constr type="b" for="ch" forName="child4Text" refType="h"/>
                      <dgm:constr type="l" for="ch" forName="child4Text"/>
                    </dgm:constrLst>
                  </dgm:if>
                  <dgm:else name="Name27">
                    <dgm:constrLst>
                      <dgm:constr type="w" for="ch" forName="child4" refType="w"/>
                      <dgm:constr type="h" for="ch" forName="child4" refType="h"/>
                      <dgm:constr type="b" for="ch" forName="child4" refType="h"/>
                      <dgm:constr type="r" for="ch" forName="child4" refType="w"/>
                      <dgm:constr type="w" for="ch" forName="child4Text" refType="w" fact="0.7"/>
                      <dgm:constr type="h" for="ch" forName="child4Text" refType="h" fact="0.75"/>
                      <dgm:constr type="b" for="ch" forName="child4Text" refType="h"/>
                      <dgm:constr type="r" for="ch" forName="child4Text" refType="w"/>
                    </dgm:constrLst>
                  </dgm:else>
                </dgm:choose>
                <dgm:ruleLst/>
                <dgm:layoutNode name="child4" styleLbl="bgAcc1">
                  <dgm:alg type="sp"/>
                  <dgm:shape xmlns:r="http://schemas.openxmlformats.org/officeDocument/2006/relationships" type="roundRect" r:blip="" zOrderOff="-4">
                    <dgm:adjLst>
                      <dgm:adj idx="1" val="0.1"/>
                    </dgm:adjLst>
                  </dgm:shape>
                  <dgm:presOf axis="ch des" ptType="node node" st="4 1" cnt="1 0"/>
                  <dgm:constrLst/>
                  <dgm:ruleLst/>
                </dgm:layoutNode>
                <dgm:layoutNode name="child4Text" styleLbl="bgAcc1">
                  <dgm:varLst>
                    <dgm:bulletEnabled val="1"/>
                  </dgm:varLst>
                  <dgm:alg type="tx">
                    <dgm:param type="stBulletLvl" val="1"/>
                  </dgm:alg>
                  <dgm:shape xmlns:r="http://schemas.openxmlformats.org/officeDocument/2006/relationships" type="roundRect" r:blip="" zOrderOff="-4" hideGeom="1">
                    <dgm:adjLst>
                      <dgm:adj idx="1" val="0.1"/>
                    </dgm:adjLst>
                  </dgm:shape>
                  <dgm:presOf axis="ch des" ptType="node node" st="4 1" cnt="1 0"/>
                  <dgm:constrLst>
                    <dgm:constr type="tMarg" refType="primFontSz" fact="0.3"/>
                    <dgm:constr type="bMarg" refType="primFontSz" fact="0.3"/>
                    <dgm:constr type="lMarg" refType="primFontSz" fact="0.3"/>
                    <dgm:constr type="rMarg" refType="primFontSz" fact="0.3"/>
                  </dgm:constrLst>
                  <dgm:ruleLst>
                    <dgm:rule type="primFontSz" val="5" fact="NaN" max="NaN"/>
                  </dgm:ruleLst>
                </dgm:layoutNode>
              </dgm:layoutNode>
            </dgm:if>
            <dgm:else name="Name28"/>
          </dgm:choose>
          <dgm:layoutNode name="childPlaceholder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layoutNode>
        <dgm:layoutNode name="circle">
          <dgm:alg type="composite">
            <dgm:param type="ar" val="1"/>
          </dgm:alg>
          <dgm:shape xmlns:r="http://schemas.openxmlformats.org/officeDocument/2006/relationships" r:blip="">
            <dgm:adjLst/>
          </dgm:shape>
          <dgm:presOf/>
          <dgm:choose name="Name29">
            <dgm:if name="Name30" func="var" arg="dir" op="equ" val="norm">
              <dgm:constrLst>
                <dgm:constr type="primFontSz" for="ch" ptType="node" op="equ" val="65"/>
                <dgm:constr type="w" for="ch" forName="quadrant1" refType="w" fact="0.433"/>
                <dgm:constr type="h" for="ch" forName="quadrant1" refType="h" fact="0.433"/>
                <dgm:constr type="b" for="ch" forName="quadrant1" refType="h" fact="0.5"/>
                <dgm:constr type="bOff" for="ch" forName="quadrant1" refType="h" fact="-0.01"/>
                <dgm:constr type="r" for="ch" forName="quadrant1" refType="w" fact="0.5"/>
                <dgm:constr type="rOff" for="ch" forName="quadrant1" refType="w" fact="-0.01"/>
                <dgm:constr type="w" for="ch" forName="quadrant2" refType="w" fact="0.433"/>
                <dgm:constr type="h" for="ch" forName="quadrant2" refType="h" fact="0.433"/>
                <dgm:constr type="b" for="ch" forName="quadrant2" refType="h" fact="0.5"/>
                <dgm:constr type="bOff" for="ch" forName="quadrant2" refType="h" fact="-0.01"/>
                <dgm:constr type="l" for="ch" forName="quadrant2" refType="w" fact="0.5"/>
                <dgm:constr type="lOff" for="ch" forName="quadrant2" refType="w" fact="0.01"/>
                <dgm:constr type="w" for="ch" forName="quadrant3" refType="w" fact="0.433"/>
                <dgm:constr type="h" for="ch" forName="quadrant3" refType="h" fact="0.433"/>
                <dgm:constr type="t" for="ch" forName="quadrant3" refType="h" fact="0.5"/>
                <dgm:constr type="tOff" for="ch" forName="quadrant3" refType="h" fact="0.01"/>
                <dgm:constr type="l" for="ch" forName="quadrant3" refType="w" fact="0.5"/>
                <dgm:constr type="lOff" for="ch" forName="quadrant3" refType="w" fact="0.01"/>
                <dgm:constr type="w" for="ch" forName="quadrant4" refType="w" fact="0.433"/>
                <dgm:constr type="h" for="ch" forName="quadrant4" refType="h" fact="0.433"/>
                <dgm:constr type="t" for="ch" forName="quadrant4" refType="h" fact="0.5"/>
                <dgm:constr type="tOff" for="ch" forName="quadrant4" refType="h" fact="0.01"/>
                <dgm:constr type="r" for="ch" forName="quadrant4" refType="w" fact="0.5"/>
                <dgm:constr type="rOff" for="ch" forName="quadrant4" refType="w" fact="-0.01"/>
              </dgm:constrLst>
            </dgm:if>
            <dgm:else name="Name31">
              <dgm:constrLst>
                <dgm:constr type="primFontSz" for="ch" ptType="node" op="equ" val="65"/>
                <dgm:constr type="w" for="ch" forName="quadrant1" refType="w" fact="0.433"/>
                <dgm:constr type="h" for="ch" forName="quadrant1" refType="h" fact="0.433"/>
                <dgm:constr type="b" for="ch" forName="quadrant1" refType="h" fact="0.5"/>
                <dgm:constr type="bOff" for="ch" forName="quadrant1" refType="h" fact="-0.01"/>
                <dgm:constr type="l" for="ch" forName="quadrant1" refType="w" fact="0.5"/>
                <dgm:constr type="lOff" for="ch" forName="quadrant1" refType="w" fact="0.01"/>
                <dgm:constr type="w" for="ch" forName="quadrant2" refType="w" fact="0.433"/>
                <dgm:constr type="h" for="ch" forName="quadrant2" refType="h" fact="0.433"/>
                <dgm:constr type="b" for="ch" forName="quadrant2" refType="h" fact="0.5"/>
                <dgm:constr type="bOff" for="ch" forName="quadrant2" refType="h" fact="-0.01"/>
                <dgm:constr type="r" for="ch" forName="quadrant2" refType="w" fact="0.5"/>
                <dgm:constr type="rOff" for="ch" forName="quadrant2" refType="w" fact="-0.01"/>
                <dgm:constr type="w" for="ch" forName="quadrant3" refType="w" fact="0.433"/>
                <dgm:constr type="h" for="ch" forName="quadrant3" refType="h" fact="0.433"/>
                <dgm:constr type="t" for="ch" forName="quadrant3" refType="h" fact="0.5"/>
                <dgm:constr type="tOff" for="ch" forName="quadrant3" refType="h" fact="0.01"/>
                <dgm:constr type="r" for="ch" forName="quadrant3" refType="w" fact="0.5"/>
                <dgm:constr type="rOff" for="ch" forName="quadrant3" refType="w" fact="-0.01"/>
                <dgm:constr type="w" for="ch" forName="quadrant4" refType="w" fact="0.433"/>
                <dgm:constr type="h" for="ch" forName="quadrant4" refType="h" fact="0.433"/>
                <dgm:constr type="t" for="ch" forName="quadrant4" refType="h" fact="0.5"/>
                <dgm:constr type="tOff" for="ch" forName="quadrant4" refType="h" fact="0.01"/>
                <dgm:constr type="l" for="ch" forName="quadrant4" refType="w" fact="0.5"/>
                <dgm:constr type="lOff" for="ch" forName="quadrant4" refType="w" fact="0.01"/>
              </dgm:constrLst>
            </dgm:else>
          </dgm:choose>
          <dgm:ruleLst/>
          <dgm:layoutNode name="quadrant1" styleLbl="node1">
            <dgm:varLst>
              <dgm:chMax val="1"/>
              <dgm:bulletEnabled val="1"/>
            </dgm:varLst>
            <dgm:alg type="tx"/>
            <dgm:choose name="Name32">
              <dgm:if name="Name33" func="var" arg="dir" op="equ" val="norm">
                <dgm:shape xmlns:r="http://schemas.openxmlformats.org/officeDocument/2006/relationships" type="pieWedge" r:blip="">
                  <dgm:adjLst/>
                </dgm:shape>
              </dgm:if>
              <dgm:else name="Name34">
                <dgm:shape xmlns:r="http://schemas.openxmlformats.org/officeDocument/2006/relationships" rot="90" type="pieWedge" r:blip="">
                  <dgm:adjLst/>
                </dgm:shape>
              </dgm:else>
            </dgm:choose>
            <dgm:presOf axis="ch" ptType="node" cnt="1"/>
            <dgm:constrLst/>
            <dgm:ruleLst>
              <dgm:rule type="primFontSz" val="5" fact="NaN" max="NaN"/>
            </dgm:ruleLst>
          </dgm:layoutNode>
          <dgm:layoutNode name="quadrant2" styleLbl="node1">
            <dgm:varLst>
              <dgm:chMax val="1"/>
              <dgm:bulletEnabled val="1"/>
            </dgm:varLst>
            <dgm:alg type="tx"/>
            <dgm:choose name="Name35">
              <dgm:if name="Name36" func="var" arg="dir" op="equ" val="norm">
                <dgm:shape xmlns:r="http://schemas.openxmlformats.org/officeDocument/2006/relationships" rot="90" type="pieWedge" r:blip="">
                  <dgm:adjLst/>
                </dgm:shape>
              </dgm:if>
              <dgm:else name="Name37">
                <dgm:shape xmlns:r="http://schemas.openxmlformats.org/officeDocument/2006/relationships" type="pieWedge" r:blip="">
                  <dgm:adjLst/>
                </dgm:shape>
              </dgm:else>
            </dgm:choose>
            <dgm:presOf axis="ch" ptType="node" st="2" cnt="1"/>
            <dgm:constrLst/>
            <dgm:ruleLst>
              <dgm:rule type="primFontSz" val="5" fact="NaN" max="NaN"/>
            </dgm:ruleLst>
          </dgm:layoutNode>
          <dgm:layoutNode name="quadrant3" styleLbl="node1">
            <dgm:varLst>
              <dgm:chMax val="1"/>
              <dgm:bulletEnabled val="1"/>
            </dgm:varLst>
            <dgm:alg type="tx"/>
            <dgm:choose name="Name38">
              <dgm:if name="Name39" func="var" arg="dir" op="equ" val="norm">
                <dgm:shape xmlns:r="http://schemas.openxmlformats.org/officeDocument/2006/relationships" rot="180" type="pieWedge" r:blip="">
                  <dgm:adjLst/>
                </dgm:shape>
              </dgm:if>
              <dgm:else name="Name40">
                <dgm:shape xmlns:r="http://schemas.openxmlformats.org/officeDocument/2006/relationships" rot="270" type="pieWedge" r:blip="">
                  <dgm:adjLst/>
                </dgm:shape>
              </dgm:else>
            </dgm:choose>
            <dgm:presOf axis="ch" ptType="node" st="3" cnt="1"/>
            <dgm:constrLst/>
            <dgm:ruleLst>
              <dgm:rule type="primFontSz" val="5" fact="NaN" max="NaN"/>
            </dgm:ruleLst>
          </dgm:layoutNode>
          <dgm:layoutNode name="quadrant4" styleLbl="node1">
            <dgm:varLst>
              <dgm:chMax val="1"/>
              <dgm:bulletEnabled val="1"/>
            </dgm:varLst>
            <dgm:alg type="tx"/>
            <dgm:choose name="Name41">
              <dgm:if name="Name42" func="var" arg="dir" op="equ" val="norm">
                <dgm:shape xmlns:r="http://schemas.openxmlformats.org/officeDocument/2006/relationships" rot="270" type="pieWedge" r:blip="">
                  <dgm:adjLst/>
                </dgm:shape>
              </dgm:if>
              <dgm:else name="Name43">
                <dgm:shape xmlns:r="http://schemas.openxmlformats.org/officeDocument/2006/relationships" rot="180" type="pieWedge" r:blip="">
                  <dgm:adjLst/>
                </dgm:shape>
              </dgm:else>
            </dgm:choose>
            <dgm:presOf axis="ch" ptType="node" st="4" cnt="1"/>
            <dgm:constrLst/>
            <dgm:ruleLst>
              <dgm:rule type="primFontSz" val="5" fact="NaN" max="NaN"/>
            </dgm:ruleLst>
          </dgm:layoutNode>
          <dgm:layoutNode name="quadrantPlaceholder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layoutNode>
        <dgm:layoutNode name="center1" styleLbl="fgShp">
          <dgm:alg type="sp"/>
          <dgm:choose name="Name44">
            <dgm:if name="Name45" func="var" arg="dir" op="equ" val="norm">
              <dgm:shape xmlns:r="http://schemas.openxmlformats.org/officeDocument/2006/relationships" type="circularArrow" r:blip="" zOrderOff="16">
                <dgm:adjLst/>
              </dgm:shape>
            </dgm:if>
            <dgm:else name="Name46">
              <dgm:shape xmlns:r="http://schemas.openxmlformats.org/officeDocument/2006/relationships" rot="180" type="leftCircularArrow" r:blip="" zOrderOff="16">
                <dgm:adjLst/>
              </dgm:shape>
            </dgm:else>
          </dgm:choose>
          <dgm:presOf/>
          <dgm:constrLst/>
          <dgm:ruleLst/>
        </dgm:layoutNode>
        <dgm:layoutNode name="center2" styleLbl="fgShp">
          <dgm:alg type="sp"/>
          <dgm:choose name="Name47">
            <dgm:if name="Name48" func="var" arg="dir" op="equ" val="norm">
              <dgm:shape xmlns:r="http://schemas.openxmlformats.org/officeDocument/2006/relationships" rot="180" type="circularArrow" r:blip="" zOrderOff="16">
                <dgm:adjLst/>
              </dgm:shape>
            </dgm:if>
            <dgm:else name="Name49">
              <dgm:shape xmlns:r="http://schemas.openxmlformats.org/officeDocument/2006/relationships" type="leftCircularArrow" r:blip="" zOrderOff="16">
                <dgm:adjLst/>
              </dgm:shape>
            </dgm:else>
          </dgm:choose>
          <dgm:presOf/>
          <dgm:constrLst/>
          <dgm:ruleLst/>
        </dgm:layoutNode>
      </dgm:if>
      <dgm:else name="Name50"/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3" Type="http://schemas.openxmlformats.org/officeDocument/2006/relationships/diagramQuickStyle" Target="../diagrams/quickStyle1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10" Type="http://schemas.microsoft.com/office/2007/relationships/diagramDrawing" Target="../diagrams/drawing2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167688</xdr:rowOff>
    </xdr:from>
    <xdr:to>
      <xdr:col>20</xdr:col>
      <xdr:colOff>516</xdr:colOff>
      <xdr:row>21</xdr:row>
      <xdr:rowOff>61345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3AB5AFA-1C31-D106-1387-5FEDC6164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0900" y="167688"/>
          <a:ext cx="4991616" cy="37341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274320</xdr:rowOff>
    </xdr:from>
    <xdr:to>
      <xdr:col>11</xdr:col>
      <xdr:colOff>206339</xdr:colOff>
      <xdr:row>19</xdr:row>
      <xdr:rowOff>61251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DDFF4D2-F31A-55A9-4533-82CEDEF8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27520" y="274320"/>
          <a:ext cx="6911939" cy="33530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128530</xdr:colOff>
      <xdr:row>15</xdr:row>
      <xdr:rowOff>36723</xdr:rowOff>
    </xdr:from>
    <xdr:to>
      <xdr:col>22</xdr:col>
      <xdr:colOff>128530</xdr:colOff>
      <xdr:row>19</xdr:row>
      <xdr:rowOff>165253</xdr:rowOff>
    </xdr:to>
    <xdr:sp macro="" textlink="">
      <xdr:nvSpPr>
        <xdr:cNvPr id="8" name="Rechteraccolade 7">
          <a:extLst>
            <a:ext uri="{FF2B5EF4-FFF2-40B4-BE49-F238E27FC236}">
              <a16:creationId xmlns:a16="http://schemas.microsoft.com/office/drawing/2014/main" id="{1A219EEE-A0DD-B4B0-7A16-BFDC2F92DE15}"/>
            </a:ext>
          </a:extLst>
        </xdr:cNvPr>
        <xdr:cNvSpPr/>
      </xdr:nvSpPr>
      <xdr:spPr>
        <a:xfrm>
          <a:off x="13872072" y="2644048"/>
          <a:ext cx="247880" cy="67937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21</xdr:col>
      <xdr:colOff>137711</xdr:colOff>
      <xdr:row>21</xdr:row>
      <xdr:rowOff>64265</xdr:rowOff>
    </xdr:from>
    <xdr:to>
      <xdr:col>22</xdr:col>
      <xdr:colOff>100988</xdr:colOff>
      <xdr:row>27</xdr:row>
      <xdr:rowOff>156072</xdr:rowOff>
    </xdr:to>
    <xdr:sp macro="" textlink="">
      <xdr:nvSpPr>
        <xdr:cNvPr id="10" name="Rechteraccolade 9">
          <a:extLst>
            <a:ext uri="{FF2B5EF4-FFF2-40B4-BE49-F238E27FC236}">
              <a16:creationId xmlns:a16="http://schemas.microsoft.com/office/drawing/2014/main" id="{BDE1EEB7-950B-4001-AB13-D9ACFD58C2EB}"/>
            </a:ext>
          </a:extLst>
        </xdr:cNvPr>
        <xdr:cNvSpPr/>
      </xdr:nvSpPr>
      <xdr:spPr>
        <a:xfrm>
          <a:off x="13881253" y="3589663"/>
          <a:ext cx="211157" cy="119349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21</xdr:col>
      <xdr:colOff>146892</xdr:colOff>
      <xdr:row>29</xdr:row>
      <xdr:rowOff>45904</xdr:rowOff>
    </xdr:from>
    <xdr:to>
      <xdr:col>22</xdr:col>
      <xdr:colOff>128530</xdr:colOff>
      <xdr:row>33</xdr:row>
      <xdr:rowOff>174434</xdr:rowOff>
    </xdr:to>
    <xdr:sp macro="" textlink="">
      <xdr:nvSpPr>
        <xdr:cNvPr id="12" name="Rechteraccolade 11">
          <a:extLst>
            <a:ext uri="{FF2B5EF4-FFF2-40B4-BE49-F238E27FC236}">
              <a16:creationId xmlns:a16="http://schemas.microsoft.com/office/drawing/2014/main" id="{61C47C96-32E8-496D-8DD8-3299C81B60DE}"/>
            </a:ext>
          </a:extLst>
        </xdr:cNvPr>
        <xdr:cNvSpPr/>
      </xdr:nvSpPr>
      <xdr:spPr>
        <a:xfrm>
          <a:off x="13890434" y="4672988"/>
          <a:ext cx="229518" cy="8629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482082</xdr:colOff>
      <xdr:row>5</xdr:row>
      <xdr:rowOff>108857</xdr:rowOff>
    </xdr:from>
    <xdr:to>
      <xdr:col>5</xdr:col>
      <xdr:colOff>233266</xdr:colOff>
      <xdr:row>10</xdr:row>
      <xdr:rowOff>62205</xdr:rowOff>
    </xdr:to>
    <xdr:sp macro="" textlink="">
      <xdr:nvSpPr>
        <xdr:cNvPr id="43" name="Tekstvak 42">
          <a:extLst>
            <a:ext uri="{FF2B5EF4-FFF2-40B4-BE49-F238E27FC236}">
              <a16:creationId xmlns:a16="http://schemas.microsoft.com/office/drawing/2014/main" id="{6209933C-EF65-3997-55C6-7766195822C2}"/>
            </a:ext>
          </a:extLst>
        </xdr:cNvPr>
        <xdr:cNvSpPr txBox="1"/>
      </xdr:nvSpPr>
      <xdr:spPr>
        <a:xfrm>
          <a:off x="1695062" y="1041918"/>
          <a:ext cx="1570653" cy="8864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800"/>
            <a:t>Gemeentelijk domein</a:t>
          </a:r>
        </a:p>
      </xdr:txBody>
    </xdr:sp>
    <xdr:clientData/>
  </xdr:twoCellAnchor>
  <xdr:twoCellAnchor>
    <xdr:from>
      <xdr:col>0</xdr:col>
      <xdr:colOff>466531</xdr:colOff>
      <xdr:row>21</xdr:row>
      <xdr:rowOff>62204</xdr:rowOff>
    </xdr:from>
    <xdr:to>
      <xdr:col>3</xdr:col>
      <xdr:colOff>217715</xdr:colOff>
      <xdr:row>26</xdr:row>
      <xdr:rowOff>15552</xdr:rowOff>
    </xdr:to>
    <xdr:sp macro="" textlink="">
      <xdr:nvSpPr>
        <xdr:cNvPr id="45" name="Tekstvak 44">
          <a:extLst>
            <a:ext uri="{FF2B5EF4-FFF2-40B4-BE49-F238E27FC236}">
              <a16:creationId xmlns:a16="http://schemas.microsoft.com/office/drawing/2014/main" id="{11725D1A-FD7C-48C8-8C7B-C9B4A6C49D2A}"/>
            </a:ext>
          </a:extLst>
        </xdr:cNvPr>
        <xdr:cNvSpPr txBox="1"/>
      </xdr:nvSpPr>
      <xdr:spPr>
        <a:xfrm>
          <a:off x="466531" y="3981061"/>
          <a:ext cx="1570653" cy="8864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800"/>
            <a:t>Privaat domein</a:t>
          </a:r>
        </a:p>
      </xdr:txBody>
    </xdr:sp>
    <xdr:clientData/>
  </xdr:twoCellAnchor>
  <xdr:twoCellAnchor>
    <xdr:from>
      <xdr:col>5</xdr:col>
      <xdr:colOff>403860</xdr:colOff>
      <xdr:row>21</xdr:row>
      <xdr:rowOff>91440</xdr:rowOff>
    </xdr:from>
    <xdr:to>
      <xdr:col>13</xdr:col>
      <xdr:colOff>99060</xdr:colOff>
      <xdr:row>36</xdr:row>
      <xdr:rowOff>91440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8596E3B-D952-4F58-8E35-8B346FD99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0</xdr:colOff>
      <xdr:row>21</xdr:row>
      <xdr:rowOff>60960</xdr:rowOff>
    </xdr:from>
    <xdr:to>
      <xdr:col>7</xdr:col>
      <xdr:colOff>304800</xdr:colOff>
      <xdr:row>36</xdr:row>
      <xdr:rowOff>60960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1A37556A-0070-42F9-B35B-53DE4EB71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4</xdr:col>
      <xdr:colOff>365760</xdr:colOff>
      <xdr:row>18</xdr:row>
      <xdr:rowOff>106680</xdr:rowOff>
    </xdr:from>
    <xdr:to>
      <xdr:col>5</xdr:col>
      <xdr:colOff>4628</xdr:colOff>
      <xdr:row>22</xdr:row>
      <xdr:rowOff>115839</xdr:rowOff>
    </xdr:to>
    <xdr:grpSp>
      <xdr:nvGrpSpPr>
        <xdr:cNvPr id="18" name="Groep 17">
          <a:extLst>
            <a:ext uri="{FF2B5EF4-FFF2-40B4-BE49-F238E27FC236}">
              <a16:creationId xmlns:a16="http://schemas.microsoft.com/office/drawing/2014/main" id="{5DB57C6D-81A4-B315-E2A2-BEA38F86AF79}"/>
            </a:ext>
          </a:extLst>
        </xdr:cNvPr>
        <xdr:cNvGrpSpPr/>
      </xdr:nvGrpSpPr>
      <xdr:grpSpPr>
        <a:xfrm>
          <a:off x="2786231" y="3535680"/>
          <a:ext cx="243985" cy="771159"/>
          <a:chOff x="1575348" y="1001259"/>
          <a:chExt cx="248468" cy="740679"/>
        </a:xfrm>
      </xdr:grpSpPr>
      <xdr:sp macro="" textlink="">
        <xdr:nvSpPr>
          <xdr:cNvPr id="19" name="Pijl: links/rechts 18">
            <a:extLst>
              <a:ext uri="{FF2B5EF4-FFF2-40B4-BE49-F238E27FC236}">
                <a16:creationId xmlns:a16="http://schemas.microsoft.com/office/drawing/2014/main" id="{15D52A66-1BF9-240E-FA42-DB7A0A4ECDCC}"/>
              </a:ext>
            </a:extLst>
          </xdr:cNvPr>
          <xdr:cNvSpPr/>
        </xdr:nvSpPr>
        <xdr:spPr>
          <a:xfrm rot="18000000">
            <a:off x="1329242" y="1247365"/>
            <a:ext cx="740679" cy="248468"/>
          </a:xfrm>
          <a:prstGeom prst="leftRightArrow">
            <a:avLst>
              <a:gd name="adj1" fmla="val 60000"/>
              <a:gd name="adj2" fmla="val 50000"/>
            </a:avLst>
          </a:prstGeom>
        </xdr:spPr>
        <xdr:style>
          <a:lnRef idx="0">
            <a:schemeClr val="accent1">
              <a:tint val="60000"/>
              <a:hueOff val="0"/>
              <a:satOff val="0"/>
              <a:lumOff val="0"/>
              <a:alphaOff val="0"/>
            </a:schemeClr>
          </a:lnRef>
          <a:fillRef idx="1">
            <a:schemeClr val="accent1">
              <a:tint val="6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tint val="6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20" name="Pijl: links/rechts 4">
            <a:extLst>
              <a:ext uri="{FF2B5EF4-FFF2-40B4-BE49-F238E27FC236}">
                <a16:creationId xmlns:a16="http://schemas.microsoft.com/office/drawing/2014/main" id="{49482F53-FD8D-4B9B-8E38-08DC6C48649E}"/>
              </a:ext>
            </a:extLst>
          </xdr:cNvPr>
          <xdr:cNvSpPr txBox="1"/>
        </xdr:nvSpPr>
        <xdr:spPr>
          <a:xfrm rot="18000000">
            <a:off x="1403782" y="1297059"/>
            <a:ext cx="591599" cy="14908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endParaRPr lang="nl-NL" sz="1000" kern="1200"/>
          </a:p>
        </xdr:txBody>
      </xdr:sp>
    </xdr:grpSp>
    <xdr:clientData/>
  </xdr:twoCellAnchor>
  <xdr:twoCellAnchor>
    <xdr:from>
      <xdr:col>8</xdr:col>
      <xdr:colOff>30480</xdr:colOff>
      <xdr:row>18</xdr:row>
      <xdr:rowOff>106680</xdr:rowOff>
    </xdr:from>
    <xdr:to>
      <xdr:col>8</xdr:col>
      <xdr:colOff>278948</xdr:colOff>
      <xdr:row>22</xdr:row>
      <xdr:rowOff>115839</xdr:rowOff>
    </xdr:to>
    <xdr:grpSp>
      <xdr:nvGrpSpPr>
        <xdr:cNvPr id="24" name="Groep 23">
          <a:extLst>
            <a:ext uri="{FF2B5EF4-FFF2-40B4-BE49-F238E27FC236}">
              <a16:creationId xmlns:a16="http://schemas.microsoft.com/office/drawing/2014/main" id="{550A9D60-9C42-114F-9E02-AE307909C586}"/>
            </a:ext>
          </a:extLst>
        </xdr:cNvPr>
        <xdr:cNvGrpSpPr/>
      </xdr:nvGrpSpPr>
      <xdr:grpSpPr>
        <a:xfrm>
          <a:off x="4871421" y="3535680"/>
          <a:ext cx="248468" cy="771159"/>
          <a:chOff x="2748183" y="1001259"/>
          <a:chExt cx="248468" cy="740679"/>
        </a:xfrm>
      </xdr:grpSpPr>
      <xdr:sp macro="" textlink="">
        <xdr:nvSpPr>
          <xdr:cNvPr id="25" name="Pijl: links/rechts 24">
            <a:extLst>
              <a:ext uri="{FF2B5EF4-FFF2-40B4-BE49-F238E27FC236}">
                <a16:creationId xmlns:a16="http://schemas.microsoft.com/office/drawing/2014/main" id="{7C09D46D-63F3-ACBB-C6AB-D7C65D2EE19B}"/>
              </a:ext>
            </a:extLst>
          </xdr:cNvPr>
          <xdr:cNvSpPr/>
        </xdr:nvSpPr>
        <xdr:spPr>
          <a:xfrm rot="3600000">
            <a:off x="2502077" y="1247365"/>
            <a:ext cx="740679" cy="248468"/>
          </a:xfrm>
          <a:prstGeom prst="leftRightArrow">
            <a:avLst>
              <a:gd name="adj1" fmla="val 60000"/>
              <a:gd name="adj2" fmla="val 50000"/>
            </a:avLst>
          </a:prstGeom>
        </xdr:spPr>
        <xdr:style>
          <a:lnRef idx="0">
            <a:schemeClr val="accent1">
              <a:tint val="60000"/>
              <a:hueOff val="0"/>
              <a:satOff val="0"/>
              <a:lumOff val="0"/>
              <a:alphaOff val="0"/>
            </a:schemeClr>
          </a:lnRef>
          <a:fillRef idx="1">
            <a:schemeClr val="accent1">
              <a:tint val="6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tint val="6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26" name="Pijl: links/rechts 4">
            <a:extLst>
              <a:ext uri="{FF2B5EF4-FFF2-40B4-BE49-F238E27FC236}">
                <a16:creationId xmlns:a16="http://schemas.microsoft.com/office/drawing/2014/main" id="{821B0D57-3164-3613-CF66-FA524625906A}"/>
              </a:ext>
            </a:extLst>
          </xdr:cNvPr>
          <xdr:cNvSpPr txBox="1"/>
        </xdr:nvSpPr>
        <xdr:spPr>
          <a:xfrm rot="3600000">
            <a:off x="2576617" y="1297059"/>
            <a:ext cx="591599" cy="14908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endParaRPr lang="nl-NL" sz="1000" kern="1200"/>
          </a:p>
        </xdr:txBody>
      </xdr:sp>
    </xdr:grpSp>
    <xdr:clientData/>
  </xdr:twoCellAnchor>
  <xdr:twoCellAnchor>
    <xdr:from>
      <xdr:col>5</xdr:col>
      <xdr:colOff>548640</xdr:colOff>
      <xdr:row>28</xdr:row>
      <xdr:rowOff>15240</xdr:rowOff>
    </xdr:from>
    <xdr:to>
      <xdr:col>7</xdr:col>
      <xdr:colOff>70119</xdr:colOff>
      <xdr:row>29</xdr:row>
      <xdr:rowOff>80828</xdr:rowOff>
    </xdr:to>
    <xdr:grpSp>
      <xdr:nvGrpSpPr>
        <xdr:cNvPr id="30" name="Groep 29">
          <a:extLst>
            <a:ext uri="{FF2B5EF4-FFF2-40B4-BE49-F238E27FC236}">
              <a16:creationId xmlns:a16="http://schemas.microsoft.com/office/drawing/2014/main" id="{3FC5381A-2AEC-6DFC-4249-F0917B515DB6}"/>
            </a:ext>
          </a:extLst>
        </xdr:cNvPr>
        <xdr:cNvGrpSpPr/>
      </xdr:nvGrpSpPr>
      <xdr:grpSpPr>
        <a:xfrm>
          <a:off x="3574228" y="5349240"/>
          <a:ext cx="731715" cy="256088"/>
          <a:chOff x="1915660" y="2263070"/>
          <a:chExt cx="740679" cy="248468"/>
        </a:xfrm>
      </xdr:grpSpPr>
      <xdr:sp macro="" textlink="">
        <xdr:nvSpPr>
          <xdr:cNvPr id="31" name="Pijl: links/rechts 30">
            <a:extLst>
              <a:ext uri="{FF2B5EF4-FFF2-40B4-BE49-F238E27FC236}">
                <a16:creationId xmlns:a16="http://schemas.microsoft.com/office/drawing/2014/main" id="{B381A365-18A0-0E98-0B25-3023882994C0}"/>
              </a:ext>
            </a:extLst>
          </xdr:cNvPr>
          <xdr:cNvSpPr/>
        </xdr:nvSpPr>
        <xdr:spPr>
          <a:xfrm rot="10800000">
            <a:off x="1915660" y="2263070"/>
            <a:ext cx="740679" cy="248468"/>
          </a:xfrm>
          <a:prstGeom prst="leftRightArrow">
            <a:avLst>
              <a:gd name="adj1" fmla="val 60000"/>
              <a:gd name="adj2" fmla="val 50000"/>
            </a:avLst>
          </a:prstGeom>
        </xdr:spPr>
        <xdr:style>
          <a:lnRef idx="0">
            <a:schemeClr val="accent1">
              <a:tint val="60000"/>
              <a:hueOff val="0"/>
              <a:satOff val="0"/>
              <a:lumOff val="0"/>
              <a:alphaOff val="0"/>
            </a:schemeClr>
          </a:lnRef>
          <a:fillRef idx="1">
            <a:schemeClr val="accent1">
              <a:tint val="6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tint val="6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32" name="Pijl: links/rechts 4">
            <a:extLst>
              <a:ext uri="{FF2B5EF4-FFF2-40B4-BE49-F238E27FC236}">
                <a16:creationId xmlns:a16="http://schemas.microsoft.com/office/drawing/2014/main" id="{6F434EE1-58BF-83D0-4C1B-6C3AE7B11B93}"/>
              </a:ext>
            </a:extLst>
          </xdr:cNvPr>
          <xdr:cNvSpPr txBox="1"/>
        </xdr:nvSpPr>
        <xdr:spPr>
          <a:xfrm rot="21600000">
            <a:off x="1990200" y="2312764"/>
            <a:ext cx="591599" cy="14908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endParaRPr lang="nl-NL" sz="1000" kern="1200"/>
          </a:p>
        </xdr:txBody>
      </xdr:sp>
    </xdr:grpSp>
    <xdr:clientData/>
  </xdr:twoCellAnchor>
  <xdr:twoCellAnchor>
    <xdr:from>
      <xdr:col>2</xdr:col>
      <xdr:colOff>482081</xdr:colOff>
      <xdr:row>5</xdr:row>
      <xdr:rowOff>51318</xdr:rowOff>
    </xdr:from>
    <xdr:to>
      <xdr:col>10</xdr:col>
      <xdr:colOff>202163</xdr:colOff>
      <xdr:row>19</xdr:row>
      <xdr:rowOff>181946</xdr:rowOff>
    </xdr:to>
    <xdr:graphicFrame macro="">
      <xdr:nvGraphicFramePr>
        <xdr:cNvPr id="34" name="Diagram 33">
          <a:extLst>
            <a:ext uri="{FF2B5EF4-FFF2-40B4-BE49-F238E27FC236}">
              <a16:creationId xmlns:a16="http://schemas.microsoft.com/office/drawing/2014/main" id="{1C099490-7846-3E08-124B-4AA5F2A41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>
    <xdr:from>
      <xdr:col>3</xdr:col>
      <xdr:colOff>186612</xdr:colOff>
      <xdr:row>27</xdr:row>
      <xdr:rowOff>124408</xdr:rowOff>
    </xdr:from>
    <xdr:to>
      <xdr:col>3</xdr:col>
      <xdr:colOff>596720</xdr:colOff>
      <xdr:row>29</xdr:row>
      <xdr:rowOff>107800</xdr:rowOff>
    </xdr:to>
    <xdr:sp macro="" textlink="">
      <xdr:nvSpPr>
        <xdr:cNvPr id="40" name="Pijl: draaiend 39">
          <a:extLst>
            <a:ext uri="{FF2B5EF4-FFF2-40B4-BE49-F238E27FC236}">
              <a16:creationId xmlns:a16="http://schemas.microsoft.com/office/drawing/2014/main" id="{77447A86-3E78-99C2-27D2-E2D0045506B3}"/>
            </a:ext>
          </a:extLst>
        </xdr:cNvPr>
        <xdr:cNvSpPr/>
      </xdr:nvSpPr>
      <xdr:spPr>
        <a:xfrm>
          <a:off x="2006081" y="5162939"/>
          <a:ext cx="410108" cy="356616"/>
        </a:xfrm>
        <a:prstGeom prst="circularArrow">
          <a:avLst/>
        </a:pr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tint val="60000"/>
            <a:hueOff val="0"/>
            <a:satOff val="0"/>
            <a:lumOff val="0"/>
            <a:alphaOff val="0"/>
          </a:schemeClr>
        </a:fillRef>
        <a:effectRef idx="0">
          <a:schemeClr val="accent1">
            <a:tint val="6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</xdr:sp>
    <xdr:clientData/>
  </xdr:twoCellAnchor>
  <xdr:twoCellAnchor>
    <xdr:from>
      <xdr:col>3</xdr:col>
      <xdr:colOff>186612</xdr:colOff>
      <xdr:row>28</xdr:row>
      <xdr:rowOff>62204</xdr:rowOff>
    </xdr:from>
    <xdr:to>
      <xdr:col>3</xdr:col>
      <xdr:colOff>596720</xdr:colOff>
      <xdr:row>30</xdr:row>
      <xdr:rowOff>45596</xdr:rowOff>
    </xdr:to>
    <xdr:sp macro="" textlink="">
      <xdr:nvSpPr>
        <xdr:cNvPr id="42" name="Pijl: draaiend 41">
          <a:extLst>
            <a:ext uri="{FF2B5EF4-FFF2-40B4-BE49-F238E27FC236}">
              <a16:creationId xmlns:a16="http://schemas.microsoft.com/office/drawing/2014/main" id="{88227922-DCBF-8A3E-2E28-8F8E450C6173}"/>
            </a:ext>
          </a:extLst>
        </xdr:cNvPr>
        <xdr:cNvSpPr/>
      </xdr:nvSpPr>
      <xdr:spPr>
        <a:xfrm rot="10800000">
          <a:off x="2006081" y="5287347"/>
          <a:ext cx="410108" cy="356616"/>
        </a:xfrm>
        <a:prstGeom prst="circularArrow">
          <a:avLst/>
        </a:pr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tint val="60000"/>
            <a:hueOff val="0"/>
            <a:satOff val="0"/>
            <a:lumOff val="0"/>
            <a:alphaOff val="0"/>
          </a:schemeClr>
        </a:fillRef>
        <a:effectRef idx="0">
          <a:schemeClr val="accent1">
            <a:tint val="6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328</xdr:col>
      <xdr:colOff>533400</xdr:colOff>
      <xdr:row>5</xdr:row>
      <xdr:rowOff>175260</xdr:rowOff>
    </xdr:from>
    <xdr:to>
      <xdr:col>336</xdr:col>
      <xdr:colOff>228600</xdr:colOff>
      <xdr:row>20</xdr:row>
      <xdr:rowOff>175260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DBAE966-1D21-8882-8A63-471CA0256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358140</xdr:colOff>
      <xdr:row>0</xdr:row>
      <xdr:rowOff>28266</xdr:rowOff>
    </xdr:from>
    <xdr:to>
      <xdr:col>13</xdr:col>
      <xdr:colOff>419625</xdr:colOff>
      <xdr:row>13</xdr:row>
      <xdr:rowOff>6176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CB7596A-D414-FAEC-97E4-09F94C778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6060" y="28266"/>
          <a:ext cx="4938285" cy="2341803"/>
        </a:xfrm>
        <a:prstGeom prst="rect">
          <a:avLst/>
        </a:prstGeom>
      </xdr:spPr>
    </xdr:pic>
    <xdr:clientData/>
  </xdr:twoCellAnchor>
  <xdr:twoCellAnchor editAs="oneCell">
    <xdr:from>
      <xdr:col>6</xdr:col>
      <xdr:colOff>41189</xdr:colOff>
      <xdr:row>38</xdr:row>
      <xdr:rowOff>113270</xdr:rowOff>
    </xdr:from>
    <xdr:to>
      <xdr:col>15</xdr:col>
      <xdr:colOff>64526</xdr:colOff>
      <xdr:row>49</xdr:row>
      <xdr:rowOff>65248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EDCC9C0-0AC5-E8BF-D8E0-BB99F09E7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6044513"/>
          <a:ext cx="5491202" cy="199084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17</xdr:col>
      <xdr:colOff>229201</xdr:colOff>
      <xdr:row>68</xdr:row>
      <xdr:rowOff>30784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BA80D1FE-2450-750D-7538-763DF2D9B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27520" y="7863840"/>
          <a:ext cx="6934801" cy="35055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</xdr:colOff>
      <xdr:row>2</xdr:row>
      <xdr:rowOff>0</xdr:rowOff>
    </xdr:from>
    <xdr:to>
      <xdr:col>18</xdr:col>
      <xdr:colOff>381610</xdr:colOff>
      <xdr:row>16</xdr:row>
      <xdr:rowOff>84986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CCA0BE9-605D-397C-5381-AD64EB010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3620" y="319181"/>
          <a:ext cx="5250790" cy="2645306"/>
        </a:xfrm>
        <a:prstGeom prst="rect">
          <a:avLst/>
        </a:prstGeom>
      </xdr:spPr>
    </xdr:pic>
    <xdr:clientData/>
  </xdr:twoCellAnchor>
  <xdr:twoCellAnchor editAs="oneCell">
    <xdr:from>
      <xdr:col>10</xdr:col>
      <xdr:colOff>99086</xdr:colOff>
      <xdr:row>16</xdr:row>
      <xdr:rowOff>106680</xdr:rowOff>
    </xdr:from>
    <xdr:to>
      <xdr:col>18</xdr:col>
      <xdr:colOff>423314</xdr:colOff>
      <xdr:row>26</xdr:row>
      <xdr:rowOff>7620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A02B315-C738-DA96-28EF-70D8D4621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0546" y="3032760"/>
          <a:ext cx="5201028" cy="17297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14</xdr:row>
      <xdr:rowOff>137160</xdr:rowOff>
    </xdr:from>
    <xdr:to>
      <xdr:col>18</xdr:col>
      <xdr:colOff>488290</xdr:colOff>
      <xdr:row>29</xdr:row>
      <xdr:rowOff>39266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748FD91-6330-4BA6-B83F-A4C5AEC5B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5760" y="2697480"/>
          <a:ext cx="5250790" cy="2645306"/>
        </a:xfrm>
        <a:prstGeom prst="rect">
          <a:avLst/>
        </a:prstGeom>
      </xdr:spPr>
    </xdr:pic>
    <xdr:clientData/>
  </xdr:twoCellAnchor>
  <xdr:twoCellAnchor editAs="oneCell">
    <xdr:from>
      <xdr:col>10</xdr:col>
      <xdr:colOff>99086</xdr:colOff>
      <xdr:row>3</xdr:row>
      <xdr:rowOff>106680</xdr:rowOff>
    </xdr:from>
    <xdr:to>
      <xdr:col>18</xdr:col>
      <xdr:colOff>423314</xdr:colOff>
      <xdr:row>13</xdr:row>
      <xdr:rowOff>7620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A5F43AEB-C855-481F-9EA1-90F40154A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0546" y="3032760"/>
          <a:ext cx="5201028" cy="17297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art Vertegaal" id="{71748D4B-A4C0-4505-84FE-54457E0CA9EB}" userId="S::b.vertegaal@berenschot.nl::61cbe7a4-05ff-4a91-98bb-1d8ecf27eb9a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3" dT="2023-11-20T23:03:25.23" personId="{71748D4B-A4C0-4505-84FE-54457E0CA9EB}" id="{57BA8998-96D5-4E5F-BA64-FDF9788A9C97}">
    <text>Aangepast naar nieuw Sociaal Minimum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DF95-DB72-4E86-A250-77A3D484E691}">
  <dimension ref="A1"/>
  <sheetViews>
    <sheetView showGridLines="0" workbookViewId="0">
      <selection activeCell="J23" sqref="J2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B3464-038D-4DED-8BBC-0FD678DD463A}">
  <dimension ref="A2:T35"/>
  <sheetViews>
    <sheetView showGridLines="0" topLeftCell="A10" workbookViewId="0">
      <selection activeCell="C15" sqref="C15"/>
    </sheetView>
  </sheetViews>
  <sheetFormatPr defaultRowHeight="15" x14ac:dyDescent="0.25"/>
  <cols>
    <col min="1" max="1" width="23.7109375" bestFit="1" customWidth="1"/>
    <col min="2" max="3" width="13.85546875" style="89" customWidth="1"/>
    <col min="4" max="4" width="11.5703125" customWidth="1"/>
    <col min="5" max="5" width="2" customWidth="1"/>
    <col min="6" max="7" width="11.5703125" customWidth="1"/>
  </cols>
  <sheetData>
    <row r="2" spans="1:20" x14ac:dyDescent="0.25">
      <c r="B2" s="89" t="s">
        <v>440</v>
      </c>
      <c r="C2" s="89" t="s">
        <v>534</v>
      </c>
    </row>
    <row r="3" spans="1:20" x14ac:dyDescent="0.25">
      <c r="A3" s="86" t="s">
        <v>536</v>
      </c>
      <c r="B3" s="92">
        <v>-25855.200000000001</v>
      </c>
      <c r="C3" s="93">
        <v>-25855.200000000001</v>
      </c>
    </row>
    <row r="4" spans="1:20" x14ac:dyDescent="0.25">
      <c r="A4" s="87" t="s">
        <v>11</v>
      </c>
      <c r="B4" s="90">
        <f>-0.67925*B3</f>
        <v>17562.1446</v>
      </c>
      <c r="C4" s="91">
        <f>-0.5681*C3</f>
        <v>14688.339120000002</v>
      </c>
    </row>
    <row r="5" spans="1:20" x14ac:dyDescent="0.25">
      <c r="A5" s="88" t="s">
        <v>545</v>
      </c>
      <c r="B5" s="94">
        <f>B4+B3</f>
        <v>-8293.0554000000011</v>
      </c>
      <c r="C5" s="95">
        <f>C4+C3</f>
        <v>-11166.860879999998</v>
      </c>
    </row>
    <row r="6" spans="1:20" x14ac:dyDescent="0.25">
      <c r="A6" s="86" t="s">
        <v>540</v>
      </c>
      <c r="B6" s="92">
        <f>1.06156*C30</f>
        <v>12844.876</v>
      </c>
      <c r="C6" s="93">
        <f>1.06156*D30</f>
        <v>19745.016</v>
      </c>
    </row>
    <row r="7" spans="1:20" x14ac:dyDescent="0.25">
      <c r="A7" s="87" t="s">
        <v>19</v>
      </c>
      <c r="B7" s="90">
        <f>1.06156*C31</f>
        <v>-19319.985524429761</v>
      </c>
      <c r="C7" s="91">
        <f>1.06156*D31</f>
        <v>-21942.237103667077</v>
      </c>
    </row>
    <row r="8" spans="1:20" x14ac:dyDescent="0.25">
      <c r="A8" s="88" t="s">
        <v>21</v>
      </c>
      <c r="B8" s="94">
        <f>B7+B6</f>
        <v>-6475.1095244297612</v>
      </c>
      <c r="C8" s="95">
        <f>C7+C6</f>
        <v>-2197.2211036670778</v>
      </c>
    </row>
    <row r="9" spans="1:20" x14ac:dyDescent="0.25">
      <c r="A9" s="96" t="s">
        <v>539</v>
      </c>
      <c r="B9" s="97">
        <f>B8+B5</f>
        <v>-14768.164924429762</v>
      </c>
      <c r="C9" s="98">
        <f>C8+C5</f>
        <v>-13364.081983667076</v>
      </c>
    </row>
    <row r="10" spans="1:20" x14ac:dyDescent="0.25">
      <c r="B10" s="90"/>
      <c r="C10" s="90"/>
    </row>
    <row r="11" spans="1:20" x14ac:dyDescent="0.25">
      <c r="B11" s="90"/>
      <c r="C11" s="90"/>
    </row>
    <row r="14" spans="1:20" x14ac:dyDescent="0.25">
      <c r="A14" s="66" t="s">
        <v>542</v>
      </c>
      <c r="T14">
        <f>13300/24000</f>
        <v>0.5541666666666667</v>
      </c>
    </row>
    <row r="15" spans="1:20" x14ac:dyDescent="0.25">
      <c r="A15" s="86" t="s">
        <v>541</v>
      </c>
      <c r="B15" s="92">
        <v>-24000</v>
      </c>
      <c r="C15" s="93">
        <v>-26300</v>
      </c>
    </row>
    <row r="16" spans="1:20" x14ac:dyDescent="0.25">
      <c r="A16" s="87" t="s">
        <v>11</v>
      </c>
      <c r="B16" s="90">
        <v>13300</v>
      </c>
      <c r="C16" s="91">
        <v>11700</v>
      </c>
    </row>
    <row r="17" spans="1:18" x14ac:dyDescent="0.25">
      <c r="A17" s="87" t="s">
        <v>537</v>
      </c>
      <c r="B17" s="90">
        <v>12100</v>
      </c>
      <c r="C17" s="91">
        <v>18600</v>
      </c>
    </row>
    <row r="18" spans="1:18" x14ac:dyDescent="0.25">
      <c r="A18" s="87" t="s">
        <v>538</v>
      </c>
      <c r="B18" s="90">
        <v>-14800</v>
      </c>
      <c r="C18" s="91">
        <v>-15900</v>
      </c>
    </row>
    <row r="19" spans="1:18" x14ac:dyDescent="0.25">
      <c r="A19" s="88" t="s">
        <v>539</v>
      </c>
      <c r="B19" s="94">
        <f>SUM(B15:B18)</f>
        <v>-13400</v>
      </c>
      <c r="C19" s="95">
        <f>SUM(C15:C18)</f>
        <v>-11900</v>
      </c>
    </row>
    <row r="20" spans="1:18" x14ac:dyDescent="0.25">
      <c r="A20" s="87" t="s">
        <v>21</v>
      </c>
      <c r="B20" s="90">
        <f>B17+B18</f>
        <v>-2700</v>
      </c>
      <c r="C20" s="90">
        <f>C17+C18</f>
        <v>2700</v>
      </c>
    </row>
    <row r="21" spans="1:18" x14ac:dyDescent="0.25">
      <c r="A21" t="s">
        <v>545</v>
      </c>
      <c r="B21" s="90">
        <f>B15+B16</f>
        <v>-10700</v>
      </c>
      <c r="C21" s="90">
        <f>C15+C16</f>
        <v>-14600</v>
      </c>
    </row>
    <row r="22" spans="1:18" x14ac:dyDescent="0.25">
      <c r="R22">
        <f>11700/26300</f>
        <v>0.44486692015209123</v>
      </c>
    </row>
    <row r="23" spans="1:18" x14ac:dyDescent="0.25">
      <c r="A23" s="66" t="s">
        <v>544</v>
      </c>
    </row>
    <row r="25" spans="1:18" x14ac:dyDescent="0.25">
      <c r="C25" s="179" t="s">
        <v>546</v>
      </c>
      <c r="D25" s="179"/>
      <c r="F25" s="179" t="s">
        <v>547</v>
      </c>
      <c r="G25" s="179"/>
    </row>
    <row r="26" spans="1:18" x14ac:dyDescent="0.25">
      <c r="C26" s="18" t="s">
        <v>440</v>
      </c>
      <c r="D26" s="18" t="s">
        <v>534</v>
      </c>
      <c r="E26" s="65"/>
      <c r="F26" s="18" t="s">
        <v>440</v>
      </c>
      <c r="G26" s="18" t="s">
        <v>534</v>
      </c>
    </row>
    <row r="27" spans="1:18" x14ac:dyDescent="0.25">
      <c r="A27" s="99" t="s">
        <v>543</v>
      </c>
      <c r="C27" s="106">
        <f>-1756.2*12*1.08</f>
        <v>-22760.352000000003</v>
      </c>
      <c r="D27" s="107">
        <f>-1756.2*12*1.08</f>
        <v>-22760.352000000003</v>
      </c>
      <c r="E27" s="65"/>
      <c r="F27" s="106">
        <f>B3</f>
        <v>-25855.200000000001</v>
      </c>
      <c r="G27" s="107">
        <f>C3</f>
        <v>-25855.200000000001</v>
      </c>
      <c r="I27" s="3"/>
    </row>
    <row r="28" spans="1:18" x14ac:dyDescent="0.25">
      <c r="A28" s="100" t="s">
        <v>11</v>
      </c>
      <c r="C28" s="108">
        <f>-0.67925*C27</f>
        <v>15459.969096000003</v>
      </c>
      <c r="D28" s="109">
        <f>-0.5681*D27</f>
        <v>12930.155971200003</v>
      </c>
      <c r="E28" s="65"/>
      <c r="F28" s="108">
        <f t="shared" ref="F28:G28" si="0">B4</f>
        <v>17562.1446</v>
      </c>
      <c r="G28" s="109">
        <f t="shared" si="0"/>
        <v>14688.339120000002</v>
      </c>
    </row>
    <row r="29" spans="1:18" s="105" customFormat="1" x14ac:dyDescent="0.25">
      <c r="A29" s="103" t="s">
        <v>545</v>
      </c>
      <c r="B29" s="104"/>
      <c r="C29" s="110">
        <f>C28+C27</f>
        <v>-7300.3829040000001</v>
      </c>
      <c r="D29" s="111">
        <f>D28+D27</f>
        <v>-9830.1960287999991</v>
      </c>
      <c r="E29" s="112"/>
      <c r="F29" s="110">
        <f t="shared" ref="F29:G29" si="1">B5</f>
        <v>-8293.0554000000011</v>
      </c>
      <c r="G29" s="111">
        <f t="shared" si="1"/>
        <v>-11166.860879999998</v>
      </c>
    </row>
    <row r="30" spans="1:18" x14ac:dyDescent="0.25">
      <c r="A30" s="99" t="s">
        <v>537</v>
      </c>
      <c r="C30" s="106">
        <f>B17</f>
        <v>12100</v>
      </c>
      <c r="D30" s="107">
        <f>C17</f>
        <v>18600</v>
      </c>
      <c r="E30" s="65"/>
      <c r="F30" s="106">
        <f t="shared" ref="F30:G30" si="2">B6</f>
        <v>12844.876</v>
      </c>
      <c r="G30" s="107">
        <f t="shared" si="2"/>
        <v>19745.016</v>
      </c>
    </row>
    <row r="31" spans="1:18" x14ac:dyDescent="0.25">
      <c r="A31" s="100" t="s">
        <v>538</v>
      </c>
      <c r="C31" s="108">
        <f>C33-C27-C28-C30</f>
        <v>-18199.617096000002</v>
      </c>
      <c r="D31" s="109">
        <f>D33-D27-D28-D30</f>
        <v>-20669.803971200003</v>
      </c>
      <c r="E31" s="65"/>
      <c r="F31" s="108">
        <f t="shared" ref="F31:G31" si="3">B7</f>
        <v>-19319.985524429761</v>
      </c>
      <c r="G31" s="109">
        <f t="shared" si="3"/>
        <v>-21942.237103667077</v>
      </c>
    </row>
    <row r="32" spans="1:18" s="105" customFormat="1" x14ac:dyDescent="0.25">
      <c r="A32" s="103" t="s">
        <v>21</v>
      </c>
      <c r="B32" s="104"/>
      <c r="C32" s="110">
        <f>C31+C30</f>
        <v>-6099.6170960000018</v>
      </c>
      <c r="D32" s="111">
        <f>D31+D30</f>
        <v>-2069.8039712000027</v>
      </c>
      <c r="E32" s="112"/>
      <c r="F32" s="110">
        <f t="shared" ref="F32:G32" si="4">B8</f>
        <v>-6475.1095244297612</v>
      </c>
      <c r="G32" s="111">
        <f t="shared" si="4"/>
        <v>-2197.2211036670778</v>
      </c>
    </row>
    <row r="33" spans="1:7" s="66" customFormat="1" x14ac:dyDescent="0.25">
      <c r="A33" s="101" t="s">
        <v>539</v>
      </c>
      <c r="B33" s="102"/>
      <c r="C33" s="113">
        <f>B19</f>
        <v>-13400</v>
      </c>
      <c r="D33" s="114">
        <f>C19</f>
        <v>-11900</v>
      </c>
      <c r="E33" s="18"/>
      <c r="F33" s="113">
        <f t="shared" ref="F33:G33" si="5">B9</f>
        <v>-14768.164924429762</v>
      </c>
      <c r="G33" s="114">
        <f t="shared" si="5"/>
        <v>-13364.081983667076</v>
      </c>
    </row>
    <row r="34" spans="1:7" x14ac:dyDescent="0.25">
      <c r="A34" s="87"/>
      <c r="C34" s="90"/>
      <c r="D34" s="90"/>
    </row>
    <row r="35" spans="1:7" x14ac:dyDescent="0.25">
      <c r="C35" s="90"/>
      <c r="D35" s="90"/>
      <c r="G35">
        <f>G27/D27</f>
        <v>1.1359754014349162</v>
      </c>
    </row>
  </sheetData>
  <mergeCells count="2">
    <mergeCell ref="C25:D25"/>
    <mergeCell ref="F25:G2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228F7-67F1-4BBF-A74E-3180BC7F3A9D}">
  <dimension ref="A1:V25"/>
  <sheetViews>
    <sheetView topLeftCell="A3" workbookViewId="0">
      <selection activeCell="H10" sqref="H10"/>
    </sheetView>
  </sheetViews>
  <sheetFormatPr defaultRowHeight="15" x14ac:dyDescent="0.25"/>
  <cols>
    <col min="1" max="1" width="23.7109375" bestFit="1" customWidth="1"/>
    <col min="2" max="3" width="13.85546875" style="89" customWidth="1"/>
    <col min="4" max="4" width="11.5703125" customWidth="1"/>
    <col min="5" max="5" width="2" customWidth="1"/>
    <col min="6" max="7" width="11.5703125" customWidth="1"/>
  </cols>
  <sheetData>
    <row r="1" spans="1:22" x14ac:dyDescent="0.25">
      <c r="T1">
        <f>13300/24000</f>
        <v>0.5541666666666667</v>
      </c>
    </row>
    <row r="2" spans="1:22" x14ac:dyDescent="0.25">
      <c r="A2" s="66" t="s">
        <v>542</v>
      </c>
    </row>
    <row r="3" spans="1:22" x14ac:dyDescent="0.25">
      <c r="B3" s="89" t="s">
        <v>440</v>
      </c>
      <c r="C3" s="89" t="s">
        <v>534</v>
      </c>
    </row>
    <row r="4" spans="1:22" x14ac:dyDescent="0.25">
      <c r="A4" s="86" t="s">
        <v>541</v>
      </c>
      <c r="B4" s="92">
        <v>-24000</v>
      </c>
      <c r="C4" s="93">
        <v>-26300</v>
      </c>
    </row>
    <row r="5" spans="1:22" x14ac:dyDescent="0.25">
      <c r="A5" s="87" t="s">
        <v>11</v>
      </c>
      <c r="B5" s="90">
        <v>13300</v>
      </c>
      <c r="C5" s="91">
        <v>11700</v>
      </c>
    </row>
    <row r="6" spans="1:22" x14ac:dyDescent="0.25">
      <c r="A6" s="87" t="s">
        <v>537</v>
      </c>
      <c r="B6" s="90">
        <v>12100</v>
      </c>
      <c r="C6" s="91">
        <v>18600</v>
      </c>
    </row>
    <row r="7" spans="1:22" x14ac:dyDescent="0.25">
      <c r="A7" s="87" t="s">
        <v>538</v>
      </c>
      <c r="B7" s="90">
        <v>-14800</v>
      </c>
      <c r="C7" s="91">
        <v>-15900</v>
      </c>
    </row>
    <row r="8" spans="1:22" x14ac:dyDescent="0.25">
      <c r="A8" s="88" t="s">
        <v>539</v>
      </c>
      <c r="B8" s="94">
        <f>SUM(B4:B7)</f>
        <v>-13400</v>
      </c>
      <c r="C8" s="95">
        <f>SUM(C4:C7)</f>
        <v>-11900</v>
      </c>
    </row>
    <row r="9" spans="1:22" x14ac:dyDescent="0.25">
      <c r="A9" s="87" t="s">
        <v>21</v>
      </c>
      <c r="B9" s="90">
        <f>B6+B7</f>
        <v>-2700</v>
      </c>
      <c r="C9" s="90">
        <f>C6+C7</f>
        <v>2700</v>
      </c>
      <c r="H9">
        <f>1756*13</f>
        <v>22828</v>
      </c>
      <c r="R9">
        <f>11700/26300</f>
        <v>0.44486692015209123</v>
      </c>
      <c r="V9">
        <f>1995/1756</f>
        <v>1.1361047835990887</v>
      </c>
    </row>
    <row r="10" spans="1:22" x14ac:dyDescent="0.25">
      <c r="A10" t="s">
        <v>545</v>
      </c>
      <c r="B10" s="90">
        <f>B4+B5</f>
        <v>-10700</v>
      </c>
      <c r="C10" s="90">
        <f>C4+C5</f>
        <v>-14600</v>
      </c>
      <c r="H10">
        <f>H9*28/37</f>
        <v>17275.243243243243</v>
      </c>
    </row>
    <row r="12" spans="1:22" x14ac:dyDescent="0.25">
      <c r="A12" t="s">
        <v>556</v>
      </c>
      <c r="B12" s="89">
        <v>1756</v>
      </c>
      <c r="D12" s="65"/>
      <c r="F12" s="180"/>
      <c r="G12" s="180"/>
    </row>
    <row r="13" spans="1:22" x14ac:dyDescent="0.25">
      <c r="A13" t="s">
        <v>557</v>
      </c>
      <c r="B13" s="89">
        <v>1995</v>
      </c>
      <c r="D13" s="18"/>
      <c r="E13" s="65"/>
      <c r="F13" s="18"/>
      <c r="G13" s="18"/>
    </row>
    <row r="14" spans="1:22" x14ac:dyDescent="0.25">
      <c r="A14" t="s">
        <v>558</v>
      </c>
      <c r="B14" s="123">
        <f>'Diverse prijzen'!J32</f>
        <v>2.9478712015152755E-2</v>
      </c>
      <c r="D14" s="120"/>
      <c r="E14" s="65"/>
      <c r="F14" s="120"/>
      <c r="G14" s="120"/>
      <c r="I14" s="3"/>
    </row>
    <row r="15" spans="1:22" x14ac:dyDescent="0.25">
      <c r="D15" s="120"/>
      <c r="E15" s="65"/>
      <c r="F15" s="120"/>
      <c r="G15" s="120"/>
    </row>
    <row r="16" spans="1:22" s="105" customFormat="1" x14ac:dyDescent="0.25">
      <c r="A16"/>
      <c r="B16" s="89"/>
      <c r="C16" s="89"/>
      <c r="D16" s="121"/>
      <c r="E16" s="112"/>
      <c r="F16" s="121"/>
      <c r="G16" s="121"/>
    </row>
    <row r="17" spans="1:7" x14ac:dyDescent="0.25">
      <c r="A17" s="66" t="s">
        <v>555</v>
      </c>
      <c r="D17" s="120"/>
      <c r="E17" s="65"/>
      <c r="F17" s="120"/>
      <c r="G17" s="120"/>
    </row>
    <row r="18" spans="1:7" x14ac:dyDescent="0.25">
      <c r="B18" s="89" t="s">
        <v>440</v>
      </c>
      <c r="C18" s="89" t="s">
        <v>534</v>
      </c>
    </row>
    <row r="19" spans="1:7" s="105" customFormat="1" x14ac:dyDescent="0.25">
      <c r="A19" s="86" t="s">
        <v>541</v>
      </c>
      <c r="B19" s="92">
        <f>B4*B13/B12</f>
        <v>-27266.514806378131</v>
      </c>
      <c r="C19" s="93">
        <f>C4*B13/B12</f>
        <v>-29879.555808656038</v>
      </c>
      <c r="D19" s="121"/>
      <c r="E19" s="112"/>
      <c r="F19" s="124">
        <f>B19/B4</f>
        <v>1.1361047835990887</v>
      </c>
      <c r="G19" s="124">
        <f>C19/C4</f>
        <v>1.136104783599089</v>
      </c>
    </row>
    <row r="20" spans="1:7" s="66" customFormat="1" x14ac:dyDescent="0.25">
      <c r="A20" s="87" t="s">
        <v>11</v>
      </c>
      <c r="B20" s="90">
        <f>B5*B19/B4</f>
        <v>15110.19362186788</v>
      </c>
      <c r="C20" s="91">
        <f>C5*C19/C4</f>
        <v>13292.425968109339</v>
      </c>
      <c r="D20" s="122"/>
      <c r="E20" s="18"/>
      <c r="F20" s="122"/>
      <c r="G20" s="122"/>
    </row>
    <row r="21" spans="1:7" x14ac:dyDescent="0.25">
      <c r="A21" s="87" t="s">
        <v>537</v>
      </c>
      <c r="B21" s="90">
        <f>B6*(1+$B$14)</f>
        <v>12456.692415383348</v>
      </c>
      <c r="C21" s="91">
        <f>C6*(1+$B$14)</f>
        <v>19148.304043481839</v>
      </c>
      <c r="D21" s="90"/>
    </row>
    <row r="22" spans="1:7" x14ac:dyDescent="0.25">
      <c r="A22" s="87" t="s">
        <v>538</v>
      </c>
      <c r="B22" s="90">
        <f>B7*(1+$B$14)</f>
        <v>-15236.284937824261</v>
      </c>
      <c r="C22" s="91">
        <f>C7*(1+$B$14)</f>
        <v>-16368.711521040928</v>
      </c>
      <c r="D22" s="90"/>
    </row>
    <row r="23" spans="1:7" x14ac:dyDescent="0.25">
      <c r="A23" s="88" t="s">
        <v>539</v>
      </c>
      <c r="B23" s="94">
        <f>SUM(B19:B22)</f>
        <v>-14935.913706951163</v>
      </c>
      <c r="C23" s="95">
        <f>SUM(C19:C22)</f>
        <v>-13807.537318105788</v>
      </c>
    </row>
    <row r="24" spans="1:7" x14ac:dyDescent="0.25">
      <c r="A24" s="87" t="s">
        <v>21</v>
      </c>
      <c r="B24" s="90">
        <f>B21+B22</f>
        <v>-2779.5925224409129</v>
      </c>
      <c r="C24" s="90">
        <f>C21+C22</f>
        <v>2779.5925224409111</v>
      </c>
    </row>
    <row r="25" spans="1:7" x14ac:dyDescent="0.25">
      <c r="A25" t="s">
        <v>545</v>
      </c>
      <c r="B25" s="90">
        <f>B19+B20</f>
        <v>-12156.321184510251</v>
      </c>
      <c r="C25" s="90">
        <f>C19+C20</f>
        <v>-16587.129840546699</v>
      </c>
    </row>
  </sheetData>
  <mergeCells count="1">
    <mergeCell ref="F12:G1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8F65-7303-4CFB-BC3F-1C6F04B0D36C}">
  <dimension ref="A1:N26"/>
  <sheetViews>
    <sheetView showGridLines="0" zoomScale="68" workbookViewId="0">
      <selection activeCell="P47" sqref="P47"/>
    </sheetView>
  </sheetViews>
  <sheetFormatPr defaultRowHeight="15" x14ac:dyDescent="0.25"/>
  <cols>
    <col min="1" max="1" width="21.140625" customWidth="1"/>
    <col min="2" max="2" width="0.85546875" customWidth="1"/>
    <col min="7" max="7" width="0.85546875" customWidth="1"/>
    <col min="9" max="9" width="0.85546875" customWidth="1"/>
    <col min="13" max="13" width="0.85546875" customWidth="1"/>
  </cols>
  <sheetData>
    <row r="1" spans="1:14" ht="15.75" thickBot="1" x14ac:dyDescent="0.3">
      <c r="C1" s="181" t="s">
        <v>417</v>
      </c>
      <c r="D1" s="181"/>
      <c r="E1" s="181"/>
      <c r="F1" s="181"/>
      <c r="G1" s="18"/>
      <c r="H1" s="17" t="s">
        <v>418</v>
      </c>
      <c r="I1" s="18"/>
      <c r="J1" s="181" t="s">
        <v>419</v>
      </c>
      <c r="K1" s="181"/>
      <c r="L1" s="181"/>
    </row>
    <row r="2" spans="1:14" ht="58.15" customHeight="1" x14ac:dyDescent="0.25">
      <c r="A2" s="19"/>
      <c r="B2" s="19"/>
      <c r="C2" s="20" t="s">
        <v>1</v>
      </c>
      <c r="D2" s="20" t="s">
        <v>2</v>
      </c>
      <c r="E2" s="20" t="s">
        <v>420</v>
      </c>
      <c r="F2" s="20" t="s">
        <v>421</v>
      </c>
      <c r="G2" s="20"/>
      <c r="H2" s="20" t="s">
        <v>3</v>
      </c>
      <c r="I2" s="20"/>
      <c r="J2" s="20" t="s">
        <v>4</v>
      </c>
      <c r="K2" s="20" t="s">
        <v>5</v>
      </c>
      <c r="L2" s="20" t="s">
        <v>6</v>
      </c>
      <c r="M2" s="21"/>
      <c r="N2" s="46" t="s">
        <v>7</v>
      </c>
    </row>
    <row r="3" spans="1:14" x14ac:dyDescent="0.25">
      <c r="A3" s="22" t="s">
        <v>9</v>
      </c>
      <c r="B3" s="4"/>
      <c r="C3" s="23"/>
      <c r="D3" s="23"/>
      <c r="E3" s="24"/>
      <c r="F3" s="23"/>
      <c r="G3" s="14"/>
      <c r="H3" s="23"/>
      <c r="I3" s="14"/>
      <c r="J3" s="24"/>
      <c r="K3" s="24"/>
      <c r="L3" s="23"/>
      <c r="M3" s="14"/>
      <c r="N3" s="47"/>
    </row>
    <row r="4" spans="1:14" x14ac:dyDescent="0.25">
      <c r="A4" s="22" t="s">
        <v>10</v>
      </c>
      <c r="B4" s="4"/>
      <c r="C4" s="23"/>
      <c r="D4" s="23"/>
      <c r="E4" s="23"/>
      <c r="F4" s="23"/>
      <c r="G4" s="14"/>
      <c r="H4" s="24"/>
      <c r="I4" s="14"/>
      <c r="J4" s="24"/>
      <c r="K4" s="23"/>
      <c r="L4" s="23"/>
      <c r="M4" s="14"/>
      <c r="N4" s="47"/>
    </row>
    <row r="5" spans="1:14" x14ac:dyDescent="0.25">
      <c r="A5" s="22" t="s">
        <v>11</v>
      </c>
      <c r="B5" s="4"/>
      <c r="C5" s="24"/>
      <c r="D5" s="23"/>
      <c r="E5" s="24"/>
      <c r="F5" s="23"/>
      <c r="G5" s="14"/>
      <c r="H5" s="23"/>
      <c r="I5" s="14"/>
      <c r="J5" s="23"/>
      <c r="K5" s="24"/>
      <c r="L5" s="23"/>
      <c r="M5" s="14"/>
      <c r="N5" s="47"/>
    </row>
    <row r="6" spans="1:14" x14ac:dyDescent="0.25">
      <c r="A6" s="22" t="s">
        <v>12</v>
      </c>
      <c r="B6" s="4"/>
      <c r="C6" s="24"/>
      <c r="D6" s="23"/>
      <c r="E6" s="23"/>
      <c r="F6" s="23"/>
      <c r="G6" s="14"/>
      <c r="H6" s="23"/>
      <c r="I6" s="14"/>
      <c r="J6" s="24"/>
      <c r="K6" s="23"/>
      <c r="L6" s="23"/>
      <c r="M6" s="14"/>
      <c r="N6" s="47"/>
    </row>
    <row r="7" spans="1:14" ht="6.6" customHeight="1" x14ac:dyDescent="0.25">
      <c r="A7" s="4"/>
      <c r="B7" s="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48"/>
    </row>
    <row r="8" spans="1:14" x14ac:dyDescent="0.25">
      <c r="A8" s="25" t="s">
        <v>13</v>
      </c>
      <c r="B8" s="4"/>
      <c r="C8" s="26"/>
      <c r="D8" s="27"/>
      <c r="E8" s="27"/>
      <c r="F8" s="27"/>
      <c r="G8" s="14"/>
      <c r="H8" s="27"/>
      <c r="I8" s="14"/>
      <c r="J8" s="27"/>
      <c r="K8" s="27"/>
      <c r="L8" s="27"/>
      <c r="M8" s="14"/>
      <c r="N8" s="49"/>
    </row>
    <row r="9" spans="1:14" x14ac:dyDescent="0.25">
      <c r="A9" s="25" t="s">
        <v>14</v>
      </c>
      <c r="B9" s="4"/>
      <c r="C9" s="26"/>
      <c r="D9" s="27"/>
      <c r="E9" s="27"/>
      <c r="F9" s="27"/>
      <c r="G9" s="14"/>
      <c r="H9" s="27"/>
      <c r="I9" s="14"/>
      <c r="J9" s="27"/>
      <c r="K9" s="27"/>
      <c r="L9" s="27"/>
      <c r="M9" s="14"/>
      <c r="N9" s="49"/>
    </row>
    <row r="10" spans="1:14" ht="6.6" customHeight="1" x14ac:dyDescent="0.25">
      <c r="A10" s="4"/>
      <c r="B10" s="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48"/>
    </row>
    <row r="11" spans="1:14" x14ac:dyDescent="0.25">
      <c r="A11" s="28" t="s">
        <v>15</v>
      </c>
      <c r="B11" s="4"/>
      <c r="C11" s="29"/>
      <c r="D11" s="30"/>
      <c r="E11" s="30"/>
      <c r="F11" s="30"/>
      <c r="G11" s="14"/>
      <c r="H11" s="30"/>
      <c r="I11" s="14"/>
      <c r="J11" s="30"/>
      <c r="K11" s="30"/>
      <c r="L11" s="30"/>
      <c r="M11" s="14"/>
      <c r="N11" s="50"/>
    </row>
    <row r="12" spans="1:14" x14ac:dyDescent="0.25">
      <c r="A12" s="28" t="s">
        <v>422</v>
      </c>
      <c r="B12" s="4"/>
      <c r="C12" s="29"/>
      <c r="D12" s="30"/>
      <c r="E12" s="30"/>
      <c r="F12" s="30"/>
      <c r="G12" s="14"/>
      <c r="H12" s="30"/>
      <c r="I12" s="14"/>
      <c r="J12" s="30"/>
      <c r="K12" s="30"/>
      <c r="L12" s="30"/>
      <c r="M12" s="14"/>
      <c r="N12" s="50"/>
    </row>
    <row r="13" spans="1:14" x14ac:dyDescent="0.25">
      <c r="A13" s="28" t="s">
        <v>16</v>
      </c>
      <c r="B13" s="4"/>
      <c r="C13" s="29"/>
      <c r="D13" s="30"/>
      <c r="E13" s="30"/>
      <c r="F13" s="30"/>
      <c r="G13" s="14"/>
      <c r="H13" s="30"/>
      <c r="I13" s="14"/>
      <c r="J13" s="30"/>
      <c r="K13" s="30"/>
      <c r="L13" s="30"/>
      <c r="M13" s="14"/>
      <c r="N13" s="50"/>
    </row>
    <row r="14" spans="1:14" ht="6.6" customHeight="1" x14ac:dyDescent="0.25">
      <c r="A14" s="4"/>
      <c r="B14" s="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48"/>
    </row>
    <row r="15" spans="1:14" x14ac:dyDescent="0.25">
      <c r="A15" s="31" t="s">
        <v>17</v>
      </c>
      <c r="B15" s="4"/>
      <c r="C15" s="32"/>
      <c r="D15" s="16"/>
      <c r="E15" s="16"/>
      <c r="F15" s="32"/>
      <c r="G15" s="14"/>
      <c r="H15" s="32"/>
      <c r="I15" s="14"/>
      <c r="J15" s="16"/>
      <c r="K15" s="16"/>
      <c r="L15" s="16"/>
      <c r="M15" s="14"/>
      <c r="N15" s="51"/>
    </row>
    <row r="16" spans="1:14" x14ac:dyDescent="0.25">
      <c r="A16" s="31" t="s">
        <v>18</v>
      </c>
      <c r="B16" s="4"/>
      <c r="C16" s="32"/>
      <c r="D16" s="32"/>
      <c r="E16" s="16"/>
      <c r="F16" s="32"/>
      <c r="G16" s="14"/>
      <c r="H16" s="16"/>
      <c r="I16" s="14"/>
      <c r="J16" s="16"/>
      <c r="K16" s="16"/>
      <c r="L16" s="16"/>
      <c r="M16" s="14"/>
      <c r="N16" s="51"/>
    </row>
    <row r="17" spans="1:14" ht="6.6" customHeight="1" x14ac:dyDescent="0.25">
      <c r="A17" s="4"/>
      <c r="B17" s="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8"/>
    </row>
    <row r="18" spans="1:14" x14ac:dyDescent="0.25">
      <c r="A18" s="33" t="s">
        <v>19</v>
      </c>
      <c r="B18" s="11"/>
      <c r="C18" s="34"/>
      <c r="D18" s="34"/>
      <c r="E18" s="35"/>
      <c r="F18" s="34"/>
      <c r="G18" s="15"/>
      <c r="H18" s="34"/>
      <c r="I18" s="15"/>
      <c r="J18" s="34"/>
      <c r="K18" s="36"/>
      <c r="L18" s="34"/>
      <c r="M18" s="15"/>
      <c r="N18" s="52"/>
    </row>
    <row r="19" spans="1:14" x14ac:dyDescent="0.25">
      <c r="A19" s="33" t="s">
        <v>20</v>
      </c>
      <c r="B19" s="11"/>
      <c r="C19" s="34"/>
      <c r="D19" s="34"/>
      <c r="E19" s="35"/>
      <c r="F19" s="34"/>
      <c r="G19" s="15"/>
      <c r="H19" s="34"/>
      <c r="I19" s="15"/>
      <c r="J19" s="34"/>
      <c r="K19" s="36"/>
      <c r="L19" s="34"/>
      <c r="M19" s="15"/>
      <c r="N19" s="52"/>
    </row>
    <row r="20" spans="1:14" x14ac:dyDescent="0.25">
      <c r="A20" s="37" t="s">
        <v>21</v>
      </c>
      <c r="B20" s="4"/>
      <c r="C20" s="38"/>
      <c r="D20" s="38"/>
      <c r="E20" s="39"/>
      <c r="F20" s="38"/>
      <c r="G20" s="14"/>
      <c r="H20" s="38"/>
      <c r="I20" s="14"/>
      <c r="J20" s="38"/>
      <c r="K20" s="39"/>
      <c r="L20" s="38"/>
      <c r="M20" s="14"/>
      <c r="N20" s="52"/>
    </row>
    <row r="21" spans="1:14" x14ac:dyDescent="0.25">
      <c r="A21" s="37" t="s">
        <v>22</v>
      </c>
      <c r="B21" s="4"/>
      <c r="C21" s="39"/>
      <c r="D21" s="38"/>
      <c r="E21" s="39"/>
      <c r="F21" s="38"/>
      <c r="G21" s="14"/>
      <c r="H21" s="38"/>
      <c r="I21" s="14"/>
      <c r="J21" s="38"/>
      <c r="K21" s="38"/>
      <c r="L21" s="38"/>
      <c r="M21" s="14"/>
      <c r="N21" s="52"/>
    </row>
    <row r="22" spans="1:14" ht="6.6" customHeight="1" x14ac:dyDescent="0.25">
      <c r="A22" s="4"/>
      <c r="B22" s="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48"/>
    </row>
    <row r="23" spans="1:14" x14ac:dyDescent="0.25">
      <c r="A23" s="40" t="s">
        <v>423</v>
      </c>
      <c r="B23" s="4"/>
      <c r="C23" s="40"/>
      <c r="D23" s="41"/>
      <c r="E23" s="13"/>
      <c r="F23" s="13"/>
      <c r="G23" s="14"/>
      <c r="H23" s="13"/>
      <c r="I23" s="14"/>
      <c r="J23" s="13"/>
      <c r="K23" s="13"/>
      <c r="L23" s="41"/>
      <c r="M23" s="14"/>
      <c r="N23" s="53"/>
    </row>
    <row r="24" spans="1:14" x14ac:dyDescent="0.25">
      <c r="A24" s="40" t="s">
        <v>424</v>
      </c>
      <c r="B24" s="4"/>
      <c r="C24" s="13"/>
      <c r="D24" s="13"/>
      <c r="E24" s="13"/>
      <c r="F24" s="13"/>
      <c r="G24" s="14"/>
      <c r="H24" s="13"/>
      <c r="I24" s="14"/>
      <c r="J24" s="41"/>
      <c r="K24" s="13"/>
      <c r="L24" s="13"/>
      <c r="M24" s="14"/>
      <c r="N24" s="53"/>
    </row>
    <row r="25" spans="1:14" ht="6.6" customHeight="1" x14ac:dyDescent="0.25">
      <c r="N25" s="54"/>
    </row>
    <row r="26" spans="1:14" ht="15.75" thickBot="1" x14ac:dyDescent="0.3">
      <c r="A26" s="56" t="s">
        <v>7</v>
      </c>
      <c r="B26" s="8"/>
      <c r="C26" s="16"/>
      <c r="D26" s="16"/>
      <c r="E26" s="16"/>
      <c r="F26" s="16"/>
      <c r="G26" s="14"/>
      <c r="H26" s="16"/>
      <c r="I26" s="14"/>
      <c r="J26" s="16"/>
      <c r="K26" s="16"/>
      <c r="L26" s="16"/>
      <c r="M26" s="14"/>
      <c r="N26" s="55"/>
    </row>
  </sheetData>
  <mergeCells count="2">
    <mergeCell ref="C1:F1"/>
    <mergeCell ref="J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93E79-1092-433A-B474-38C948FF5CBB}">
  <dimension ref="A1:AD76"/>
  <sheetViews>
    <sheetView showGridLines="0" tabSelected="1" topLeftCell="A2" zoomScale="90" zoomScaleNormal="90" workbookViewId="0">
      <selection activeCell="D6" sqref="D6"/>
    </sheetView>
  </sheetViews>
  <sheetFormatPr defaultColWidth="8.85546875" defaultRowHeight="15" x14ac:dyDescent="0.25"/>
  <cols>
    <col min="1" max="1" width="1.140625" style="4" customWidth="1"/>
    <col min="2" max="2" width="26.42578125" style="4" customWidth="1"/>
    <col min="3" max="3" width="1.28515625" style="4" customWidth="1"/>
    <col min="4" max="6" width="8.28515625" style="4" customWidth="1"/>
    <col min="7" max="7" width="1.28515625" customWidth="1"/>
    <col min="8" max="11" width="11.5703125" style="4" hidden="1" customWidth="1"/>
    <col min="12" max="12" width="11.5703125" style="8" customWidth="1"/>
    <col min="13" max="13" width="1.28515625" style="4" customWidth="1"/>
    <col min="14" max="14" width="11.5703125" style="8" customWidth="1"/>
    <col min="15" max="15" width="1.28515625" style="4" customWidth="1"/>
    <col min="16" max="18" width="11.5703125" style="4" hidden="1" customWidth="1"/>
    <col min="19" max="19" width="11.5703125" style="8" customWidth="1"/>
    <col min="20" max="20" width="1.28515625" style="4" customWidth="1"/>
    <col min="21" max="21" width="11.5703125" style="4" customWidth="1"/>
    <col min="22" max="22" width="1.28515625" style="4" customWidth="1"/>
    <col min="23" max="23" width="2.42578125" customWidth="1"/>
    <col min="24" max="24" width="11.42578125" style="9" bestFit="1" customWidth="1"/>
    <col min="25" max="25" width="12.28515625" style="115" customWidth="1"/>
    <col min="26" max="34" width="9" style="4" customWidth="1"/>
    <col min="35" max="16384" width="8.85546875" style="4"/>
  </cols>
  <sheetData>
    <row r="1" spans="1:27" ht="16.5" hidden="1" thickBot="1" x14ac:dyDescent="0.3">
      <c r="B1" s="135" t="str">
        <f>Gemeenten!A347</f>
        <v>TOTAAL</v>
      </c>
      <c r="C1" s="12"/>
      <c r="D1" s="8"/>
    </row>
    <row r="2" spans="1:27" x14ac:dyDescent="0.25">
      <c r="B2" s="12"/>
      <c r="C2" s="12"/>
      <c r="D2" s="128" t="s">
        <v>440</v>
      </c>
      <c r="E2" s="128" t="s">
        <v>534</v>
      </c>
      <c r="F2" s="128" t="s">
        <v>8</v>
      </c>
      <c r="J2" s="9"/>
      <c r="U2" s="9"/>
    </row>
    <row r="3" spans="1:27" s="8" customFormat="1" ht="12" x14ac:dyDescent="0.2">
      <c r="A3" s="8" t="s">
        <v>607</v>
      </c>
      <c r="B3" s="129"/>
      <c r="C3" s="129"/>
      <c r="D3" s="73"/>
      <c r="E3" s="73"/>
      <c r="F3" s="73"/>
      <c r="J3" s="60"/>
      <c r="U3" s="60"/>
      <c r="X3" s="60"/>
      <c r="Y3" s="118"/>
    </row>
    <row r="4" spans="1:27" x14ac:dyDescent="0.25">
      <c r="A4" s="131" t="s">
        <v>608</v>
      </c>
      <c r="B4" s="4" t="s">
        <v>26</v>
      </c>
      <c r="D4" s="136">
        <v>0</v>
      </c>
      <c r="E4" s="136">
        <v>0</v>
      </c>
      <c r="F4" s="136">
        <v>0</v>
      </c>
      <c r="P4" s="7"/>
    </row>
    <row r="5" spans="1:27" x14ac:dyDescent="0.25">
      <c r="A5" s="131" t="s">
        <v>608</v>
      </c>
      <c r="B5" s="4" t="s">
        <v>27</v>
      </c>
      <c r="D5" s="136">
        <v>0</v>
      </c>
      <c r="E5" s="136">
        <v>0</v>
      </c>
      <c r="F5" s="136">
        <v>0</v>
      </c>
      <c r="Q5" s="126"/>
    </row>
    <row r="6" spans="1:27" x14ac:dyDescent="0.25">
      <c r="A6" s="131" t="s">
        <v>608</v>
      </c>
      <c r="B6" s="4" t="s">
        <v>28</v>
      </c>
      <c r="D6" s="137">
        <v>28</v>
      </c>
      <c r="E6" s="137">
        <v>29</v>
      </c>
      <c r="F6" s="137">
        <v>30</v>
      </c>
      <c r="P6" s="7"/>
    </row>
    <row r="7" spans="1:27" s="8" customFormat="1" hidden="1" x14ac:dyDescent="0.25">
      <c r="A7" s="8" t="s">
        <v>617</v>
      </c>
      <c r="D7" s="138"/>
      <c r="E7" s="138"/>
      <c r="F7" s="138"/>
      <c r="G7" s="66"/>
      <c r="P7" s="130"/>
      <c r="W7" s="66"/>
      <c r="X7" s="60"/>
      <c r="Y7" s="119"/>
    </row>
    <row r="8" spans="1:27" hidden="1" x14ac:dyDescent="0.25">
      <c r="A8" s="131" t="s">
        <v>608</v>
      </c>
      <c r="B8" s="4" t="s">
        <v>29</v>
      </c>
      <c r="D8" s="139">
        <v>37</v>
      </c>
      <c r="E8" s="139">
        <v>37</v>
      </c>
      <c r="F8" s="139">
        <v>38</v>
      </c>
    </row>
    <row r="9" spans="1:27" hidden="1" x14ac:dyDescent="0.25">
      <c r="A9" s="131" t="s">
        <v>608</v>
      </c>
      <c r="B9" s="4" t="s">
        <v>30</v>
      </c>
      <c r="D9" s="140">
        <v>0.5</v>
      </c>
      <c r="E9" s="140">
        <v>0.5</v>
      </c>
      <c r="F9" s="140">
        <v>0.5</v>
      </c>
    </row>
    <row r="10" spans="1:27" hidden="1" x14ac:dyDescent="0.25">
      <c r="A10" s="131" t="s">
        <v>608</v>
      </c>
      <c r="B10" s="4" t="s">
        <v>31</v>
      </c>
      <c r="D10" s="140">
        <v>0.11</v>
      </c>
      <c r="E10" s="140">
        <v>0.25</v>
      </c>
      <c r="F10" s="140">
        <v>0.24</v>
      </c>
      <c r="L10" s="4"/>
      <c r="N10" s="4"/>
      <c r="S10" s="4"/>
    </row>
    <row r="11" spans="1:27" hidden="1" x14ac:dyDescent="0.25">
      <c r="A11" s="131" t="s">
        <v>608</v>
      </c>
      <c r="B11" s="4" t="s">
        <v>535</v>
      </c>
      <c r="D11" s="140">
        <v>0.45</v>
      </c>
      <c r="E11" s="140">
        <v>0.54</v>
      </c>
      <c r="F11" s="140">
        <v>0.56000000000000005</v>
      </c>
      <c r="L11" s="4"/>
      <c r="N11" s="4"/>
      <c r="S11" s="4"/>
    </row>
    <row r="12" spans="1:27" ht="6.6" hidden="1" customHeight="1" x14ac:dyDescent="0.25">
      <c r="D12" s="12"/>
      <c r="E12" s="12"/>
      <c r="F12" s="12"/>
      <c r="L12" s="4"/>
      <c r="N12" s="4"/>
      <c r="S12" s="4"/>
    </row>
    <row r="13" spans="1:27" s="9" customFormat="1" ht="15.75" x14ac:dyDescent="0.25">
      <c r="A13" s="170" t="s">
        <v>563</v>
      </c>
      <c r="B13" s="171"/>
      <c r="D13" s="170" t="s">
        <v>564</v>
      </c>
      <c r="E13" s="171"/>
      <c r="F13" s="171"/>
      <c r="G13" s="65"/>
      <c r="H13" s="69" t="s">
        <v>441</v>
      </c>
      <c r="I13" s="6"/>
      <c r="J13" s="6"/>
      <c r="K13" s="6"/>
      <c r="L13" s="8"/>
      <c r="M13" s="4"/>
      <c r="N13" s="8"/>
      <c r="O13" s="4"/>
      <c r="P13" s="4"/>
      <c r="Q13" s="4"/>
      <c r="R13" s="4"/>
      <c r="S13" s="8"/>
      <c r="T13" s="4"/>
      <c r="U13" s="4"/>
      <c r="W13" s="65"/>
      <c r="Y13" s="115"/>
    </row>
    <row r="14" spans="1:27" s="63" customFormat="1" x14ac:dyDescent="0.25">
      <c r="B14" s="61"/>
      <c r="C14" s="61"/>
      <c r="D14" s="172"/>
      <c r="E14" s="172"/>
      <c r="F14" s="172"/>
      <c r="G14" s="62"/>
      <c r="H14" s="9" t="s">
        <v>426</v>
      </c>
      <c r="I14" s="9" t="s">
        <v>427</v>
      </c>
      <c r="J14" s="9" t="s">
        <v>428</v>
      </c>
      <c r="K14" s="9" t="s">
        <v>429</v>
      </c>
      <c r="L14" s="60" t="s">
        <v>430</v>
      </c>
      <c r="M14" s="9"/>
      <c r="N14" s="60" t="s">
        <v>431</v>
      </c>
      <c r="O14" s="9"/>
      <c r="P14" s="9" t="s">
        <v>432</v>
      </c>
      <c r="Q14" s="9" t="s">
        <v>433</v>
      </c>
      <c r="R14" s="9" t="s">
        <v>434</v>
      </c>
      <c r="S14" s="60" t="s">
        <v>435</v>
      </c>
      <c r="T14" s="9"/>
      <c r="U14" s="60" t="s">
        <v>436</v>
      </c>
      <c r="W14" s="62"/>
      <c r="X14" s="132"/>
      <c r="Y14" s="116"/>
    </row>
    <row r="15" spans="1:27" s="63" customFormat="1" ht="27.6" customHeight="1" x14ac:dyDescent="0.25">
      <c r="A15" s="8" t="s">
        <v>560</v>
      </c>
      <c r="B15" s="125"/>
      <c r="C15" s="61"/>
      <c r="D15" s="172"/>
      <c r="E15" s="172"/>
      <c r="F15" s="172"/>
      <c r="G15" s="62"/>
      <c r="H15" s="64" t="s">
        <v>610</v>
      </c>
      <c r="I15" s="64" t="s">
        <v>438</v>
      </c>
      <c r="J15" s="64" t="s">
        <v>420</v>
      </c>
      <c r="K15" s="64" t="s">
        <v>437</v>
      </c>
      <c r="L15" s="19" t="s">
        <v>425</v>
      </c>
      <c r="M15" s="64"/>
      <c r="N15" s="19" t="s">
        <v>3</v>
      </c>
      <c r="O15" s="64"/>
      <c r="P15" s="64" t="s">
        <v>4</v>
      </c>
      <c r="Q15" s="64" t="s">
        <v>5</v>
      </c>
      <c r="R15" s="64" t="s">
        <v>439</v>
      </c>
      <c r="S15" s="19" t="s">
        <v>559</v>
      </c>
      <c r="T15" s="64"/>
      <c r="U15" s="19" t="s">
        <v>609</v>
      </c>
      <c r="W15" s="62"/>
      <c r="X15" s="132"/>
      <c r="Y15" s="116"/>
    </row>
    <row r="16" spans="1:27" x14ac:dyDescent="0.25">
      <c r="A16" s="131" t="s">
        <v>608</v>
      </c>
      <c r="B16" s="4" t="s">
        <v>541</v>
      </c>
      <c r="D16" s="173">
        <v>27266.514806378102</v>
      </c>
      <c r="E16" s="173">
        <v>29879.555808656001</v>
      </c>
      <c r="F16" s="173">
        <v>29879.555808656001</v>
      </c>
      <c r="G16" s="160"/>
      <c r="H16" s="143"/>
      <c r="I16" s="143"/>
      <c r="J16" s="143">
        <f>-(D16*D4*D6/D8+E16*E4*E6/E8)</f>
        <v>0</v>
      </c>
      <c r="K16" s="143"/>
      <c r="L16" s="141">
        <f>SUM(H16:K16)</f>
        <v>0</v>
      </c>
      <c r="M16" s="142"/>
      <c r="N16" s="141"/>
      <c r="O16" s="142"/>
      <c r="P16" s="143">
        <f>-J16-Q16</f>
        <v>0</v>
      </c>
      <c r="Q16" s="143">
        <f>-F16*F4*F6/F8</f>
        <v>0</v>
      </c>
      <c r="R16" s="143"/>
      <c r="S16" s="141">
        <f>SUM(P16:R16)</f>
        <v>0</v>
      </c>
      <c r="T16" s="142"/>
      <c r="U16" s="150">
        <f>L16+N16+S16</f>
        <v>0</v>
      </c>
      <c r="Y16" s="117"/>
      <c r="Z16" s="3"/>
      <c r="AA16" s="3"/>
    </row>
    <row r="17" spans="1:30" x14ac:dyDescent="0.25">
      <c r="A17" s="131" t="s">
        <v>608</v>
      </c>
      <c r="B17" s="4" t="s">
        <v>10</v>
      </c>
      <c r="D17" s="173"/>
      <c r="E17" s="173"/>
      <c r="F17" s="173"/>
      <c r="G17" s="160"/>
      <c r="H17" s="143"/>
      <c r="I17" s="143"/>
      <c r="J17" s="143"/>
      <c r="K17" s="143"/>
      <c r="L17" s="141"/>
      <c r="M17" s="142"/>
      <c r="N17" s="141">
        <f>-P17</f>
        <v>0</v>
      </c>
      <c r="O17" s="142"/>
      <c r="P17" s="143">
        <f>IF(D16*D6/D8&lt;D22,0,Blad2!$D47*(D6/D8*D16-D22)/(D16-D22))*D16*D6/D8*D4+IF(E16*E6/E8&lt;E22,0,Blad2!$D47*(E6/E8*E16-E22)/(E16-E22))*E16*E6/E8*E4+IF(F16*F6/F8&lt;F22,0,Blad2!$D47*(F6/F8*F16-F22)/(F16-F22))*F16*F6/F8*F4</f>
        <v>0</v>
      </c>
      <c r="Q17" s="143"/>
      <c r="R17" s="143"/>
      <c r="S17" s="141">
        <f>SUM(P17:R17)</f>
        <v>0</v>
      </c>
      <c r="T17" s="142"/>
      <c r="U17" s="150">
        <f>L17+N17+S17</f>
        <v>0</v>
      </c>
      <c r="X17" s="133" t="s">
        <v>612</v>
      </c>
      <c r="Y17" s="4"/>
      <c r="Z17" s="3"/>
      <c r="AA17" s="3"/>
    </row>
    <row r="18" spans="1:30" x14ac:dyDescent="0.25">
      <c r="A18" s="131" t="s">
        <v>608</v>
      </c>
      <c r="B18" s="4" t="s">
        <v>550</v>
      </c>
      <c r="D18" s="173">
        <f>0.04*D16</f>
        <v>1090.6605922551241</v>
      </c>
      <c r="E18" s="173">
        <f>0.04*E16</f>
        <v>1195.18223234624</v>
      </c>
      <c r="F18" s="173">
        <f>0.04*F16</f>
        <v>1195.18223234624</v>
      </c>
      <c r="G18" s="160"/>
      <c r="H18" s="143"/>
      <c r="I18" s="143"/>
      <c r="J18" s="143"/>
      <c r="K18" s="143"/>
      <c r="L18" s="141"/>
      <c r="M18" s="142"/>
      <c r="N18" s="141"/>
      <c r="O18" s="142"/>
      <c r="P18" s="143">
        <f>-(D18*D6/D8*D4+E18*E6/E8*E4+F18*F6/F8*F4)</f>
        <v>0</v>
      </c>
      <c r="Q18" s="143"/>
      <c r="R18" s="143"/>
      <c r="S18" s="141">
        <f>SUM(P18:R18)</f>
        <v>0</v>
      </c>
      <c r="T18" s="142"/>
      <c r="U18" s="150">
        <f>L18+N18+S18</f>
        <v>0</v>
      </c>
      <c r="X18" s="134" t="s">
        <v>611</v>
      </c>
      <c r="Y18" s="117"/>
      <c r="Z18" s="3"/>
      <c r="AA18" s="3"/>
    </row>
    <row r="19" spans="1:30" x14ac:dyDescent="0.25">
      <c r="A19" s="131" t="s">
        <v>608</v>
      </c>
      <c r="B19" s="4" t="s">
        <v>11</v>
      </c>
      <c r="D19" s="174">
        <f>(1-D11)*D16</f>
        <v>14996.583143507956</v>
      </c>
      <c r="E19" s="174">
        <f>(1-E11)*E16</f>
        <v>13744.595671981759</v>
      </c>
      <c r="F19" s="174">
        <f>(1-F11)*F16</f>
        <v>13147.004555808639</v>
      </c>
      <c r="G19" s="160"/>
      <c r="H19" s="143">
        <f>-J19-Q19</f>
        <v>0</v>
      </c>
      <c r="I19" s="143"/>
      <c r="J19" s="143">
        <f>D4*D6/D8*D19+E4*E6/E8*E19</f>
        <v>0</v>
      </c>
      <c r="K19" s="143"/>
      <c r="L19" s="141">
        <f>SUM(H19:K19)</f>
        <v>0</v>
      </c>
      <c r="M19" s="142"/>
      <c r="N19" s="141"/>
      <c r="O19" s="142"/>
      <c r="P19" s="143"/>
      <c r="Q19" s="143">
        <f>F19*F4*F6/F8</f>
        <v>0</v>
      </c>
      <c r="R19" s="143"/>
      <c r="S19" s="141">
        <f>SUM(P19:R19)</f>
        <v>0</v>
      </c>
      <c r="T19" s="142"/>
      <c r="U19" s="150">
        <f>L19+N19+S19</f>
        <v>0</v>
      </c>
      <c r="X19" s="159">
        <f>SUM(U16:U20)</f>
        <v>0</v>
      </c>
    </row>
    <row r="20" spans="1:30" x14ac:dyDescent="0.25">
      <c r="A20" s="131" t="s">
        <v>608</v>
      </c>
      <c r="B20" s="4" t="s">
        <v>21</v>
      </c>
      <c r="D20" s="173">
        <f>Blad4!B24</f>
        <v>-2779.5925224409129</v>
      </c>
      <c r="E20" s="173">
        <f>Blad4!C24</f>
        <v>2779.5925224409111</v>
      </c>
      <c r="F20" s="175">
        <f>F16-F19</f>
        <v>16732.551252847363</v>
      </c>
      <c r="G20" s="160"/>
      <c r="H20" s="145"/>
      <c r="I20" s="145"/>
      <c r="J20" s="145">
        <f>D20*D4*D6/D8+E20*E4*E6/E8</f>
        <v>0</v>
      </c>
      <c r="K20" s="145"/>
      <c r="L20" s="144">
        <f>SUM(H20:K20)</f>
        <v>0</v>
      </c>
      <c r="M20" s="142"/>
      <c r="N20" s="144"/>
      <c r="O20" s="142"/>
      <c r="P20" s="145"/>
      <c r="Q20" s="145">
        <f>-Q16-Q19</f>
        <v>0</v>
      </c>
      <c r="R20" s="145"/>
      <c r="S20" s="144">
        <f>SUM(P20:R20)</f>
        <v>0</v>
      </c>
      <c r="T20" s="142"/>
      <c r="U20" s="151">
        <f>L20+N20+S20</f>
        <v>0</v>
      </c>
    </row>
    <row r="21" spans="1:30" s="8" customFormat="1" x14ac:dyDescent="0.25">
      <c r="A21" s="8" t="s">
        <v>561</v>
      </c>
      <c r="D21" s="176"/>
      <c r="E21" s="176"/>
      <c r="F21" s="177"/>
      <c r="G21" s="161"/>
      <c r="H21" s="146"/>
      <c r="I21" s="146"/>
      <c r="J21" s="146"/>
      <c r="K21" s="146"/>
      <c r="L21" s="146"/>
      <c r="M21" s="147"/>
      <c r="N21" s="146"/>
      <c r="O21" s="147"/>
      <c r="P21" s="146"/>
      <c r="Q21" s="146"/>
      <c r="R21" s="146"/>
      <c r="S21" s="146"/>
      <c r="T21" s="147"/>
      <c r="U21" s="146"/>
      <c r="W21" s="66"/>
      <c r="X21" s="60"/>
      <c r="Y21" s="119"/>
    </row>
    <row r="22" spans="1:30" x14ac:dyDescent="0.25">
      <c r="A22" s="131" t="s">
        <v>608</v>
      </c>
      <c r="B22" s="4" t="s">
        <v>549</v>
      </c>
      <c r="D22" s="173">
        <v>17434</v>
      </c>
      <c r="E22" s="173">
        <v>17434</v>
      </c>
      <c r="F22" s="173">
        <v>17434</v>
      </c>
      <c r="G22" s="160"/>
      <c r="H22" s="149">
        <f>-P22</f>
        <v>0</v>
      </c>
      <c r="I22" s="149"/>
      <c r="J22" s="149"/>
      <c r="K22" s="149"/>
      <c r="L22" s="148">
        <f t="shared" ref="L22:L28" si="0">SUM(H22:K22)</f>
        <v>0</v>
      </c>
      <c r="M22" s="142"/>
      <c r="N22" s="148"/>
      <c r="O22" s="142"/>
      <c r="P22" s="149">
        <f>-((IF(D16*D6/D8&gt;D22,D22,D16*D6/D8)*(D4-D5)+IF(E16*E6/E8&gt;E22,E22,E16*E6/E8)*(E4-E5)+IF(F16*F6/F8&gt;F22,F22,F16*F6/F8)*(F4-F5)))</f>
        <v>0</v>
      </c>
      <c r="Q22" s="149"/>
      <c r="R22" s="149"/>
      <c r="S22" s="148">
        <f>SUM(P22:R22)</f>
        <v>0</v>
      </c>
      <c r="T22" s="142"/>
      <c r="U22" s="152">
        <f t="shared" ref="U22:U28" si="1">L22+N22+S22</f>
        <v>0</v>
      </c>
      <c r="Y22" s="117"/>
    </row>
    <row r="23" spans="1:30" x14ac:dyDescent="0.25">
      <c r="A23" s="131" t="s">
        <v>608</v>
      </c>
      <c r="B23" s="4" t="s">
        <v>618</v>
      </c>
      <c r="D23" s="173"/>
      <c r="E23" s="173"/>
      <c r="F23" s="173"/>
      <c r="G23" s="160"/>
      <c r="H23" s="143">
        <f>-VLOOKUP(B1,Gemeenten!A:E,5,0)*VLOOKUP(B1,Gemeenten!A:F,6,0)*Rekenblad!H22-1/3*VLOOKUP(B1,Gemeenten!A:E,5,0)*Rekenblad!H22-(1-VLOOKUP(B1,Gemeenten!A:E,5,0))*Rekenblad!H22-H19</f>
        <v>0</v>
      </c>
      <c r="I23" s="143"/>
      <c r="J23" s="143"/>
      <c r="K23" s="143">
        <f>-N23-H23</f>
        <v>0</v>
      </c>
      <c r="L23" s="141">
        <f t="shared" si="0"/>
        <v>0</v>
      </c>
      <c r="M23" s="142"/>
      <c r="N23" s="141">
        <f>H22+H19</f>
        <v>0</v>
      </c>
      <c r="O23" s="142"/>
      <c r="P23" s="143"/>
      <c r="Q23" s="143"/>
      <c r="R23" s="143"/>
      <c r="S23" s="141"/>
      <c r="T23" s="142"/>
      <c r="U23" s="150">
        <f t="shared" si="1"/>
        <v>0</v>
      </c>
      <c r="X23" s="14"/>
      <c r="AD23" s="7"/>
    </row>
    <row r="24" spans="1:30" x14ac:dyDescent="0.25">
      <c r="A24" s="131" t="s">
        <v>608</v>
      </c>
      <c r="B24" s="4" t="s">
        <v>13</v>
      </c>
      <c r="D24" s="173">
        <v>4034</v>
      </c>
      <c r="E24" s="173">
        <v>4034</v>
      </c>
      <c r="F24" s="173">
        <v>4034</v>
      </c>
      <c r="G24" s="160"/>
      <c r="H24" s="143">
        <f>((IF(D16*D6/D8&gt;D22,1,0.5)*(D4-D5)*D24+IF(E16*E6/E8&gt;E22,1,0.5)*(E4-E5)*E24+IF(F16*F6/F8&gt;F22,1,0.5)*(F4-F5)*F24))</f>
        <v>0</v>
      </c>
      <c r="I24" s="143"/>
      <c r="J24" s="143"/>
      <c r="K24" s="143"/>
      <c r="L24" s="141">
        <f t="shared" si="0"/>
        <v>0</v>
      </c>
      <c r="M24" s="142"/>
      <c r="N24" s="141"/>
      <c r="O24" s="142"/>
      <c r="P24" s="143"/>
      <c r="Q24" s="143"/>
      <c r="R24" s="143"/>
      <c r="S24" s="141"/>
      <c r="T24" s="142"/>
      <c r="U24" s="150">
        <f t="shared" si="1"/>
        <v>0</v>
      </c>
      <c r="X24" s="133" t="s">
        <v>613</v>
      </c>
      <c r="Y24" s="117"/>
    </row>
    <row r="25" spans="1:30" x14ac:dyDescent="0.25">
      <c r="A25" s="131" t="s">
        <v>608</v>
      </c>
      <c r="B25" s="4" t="s">
        <v>14</v>
      </c>
      <c r="D25" s="173">
        <v>1874</v>
      </c>
      <c r="E25" s="173">
        <v>1874</v>
      </c>
      <c r="F25" s="173">
        <v>1874</v>
      </c>
      <c r="G25" s="160"/>
      <c r="H25" s="143">
        <f>-(D25*D4+E25*E4+F25*F4)</f>
        <v>0</v>
      </c>
      <c r="I25" s="143"/>
      <c r="J25" s="143"/>
      <c r="K25" s="143"/>
      <c r="L25" s="141">
        <f t="shared" si="0"/>
        <v>0</v>
      </c>
      <c r="M25" s="142"/>
      <c r="N25" s="141"/>
      <c r="O25" s="142"/>
      <c r="P25" s="143"/>
      <c r="Q25" s="143"/>
      <c r="R25" s="143"/>
      <c r="S25" s="141"/>
      <c r="T25" s="142"/>
      <c r="U25" s="150">
        <f t="shared" si="1"/>
        <v>0</v>
      </c>
      <c r="X25" s="134" t="s">
        <v>614</v>
      </c>
      <c r="Y25" s="4"/>
    </row>
    <row r="26" spans="1:30" x14ac:dyDescent="0.25">
      <c r="A26" s="131" t="s">
        <v>608</v>
      </c>
      <c r="B26" s="4" t="s">
        <v>479</v>
      </c>
      <c r="D26" s="173">
        <v>4130</v>
      </c>
      <c r="E26" s="173">
        <v>4130</v>
      </c>
      <c r="F26" s="173">
        <v>4130</v>
      </c>
      <c r="G26" s="160"/>
      <c r="H26" s="143">
        <f>-(D26*D4*1/D9*D10+E26*E4/E9*E10+F26*F4/F9*F10)</f>
        <v>0</v>
      </c>
      <c r="I26" s="143"/>
      <c r="J26" s="143"/>
      <c r="K26" s="143"/>
      <c r="L26" s="141">
        <f t="shared" si="0"/>
        <v>0</v>
      </c>
      <c r="M26" s="142"/>
      <c r="N26" s="141"/>
      <c r="O26" s="142"/>
      <c r="P26" s="143"/>
      <c r="Q26" s="143"/>
      <c r="R26" s="143"/>
      <c r="S26" s="141"/>
      <c r="T26" s="142"/>
      <c r="U26" s="150">
        <f t="shared" si="1"/>
        <v>0</v>
      </c>
      <c r="X26" s="159">
        <f>SUM(U22:U28)</f>
        <v>0</v>
      </c>
      <c r="AB26" s="11"/>
    </row>
    <row r="27" spans="1:30" x14ac:dyDescent="0.25">
      <c r="A27" s="131" t="s">
        <v>608</v>
      </c>
      <c r="B27" s="4" t="s">
        <v>478</v>
      </c>
      <c r="D27" s="178">
        <v>10757</v>
      </c>
      <c r="E27" s="178">
        <v>5600</v>
      </c>
      <c r="F27" s="173">
        <f>4902</f>
        <v>4902</v>
      </c>
      <c r="G27" s="160"/>
      <c r="H27" s="143">
        <f>-F27*F4-J27</f>
        <v>0</v>
      </c>
      <c r="I27" s="143"/>
      <c r="J27" s="143">
        <f>D27*D4+E27*E4</f>
        <v>0</v>
      </c>
      <c r="K27" s="143"/>
      <c r="L27" s="141">
        <f t="shared" si="0"/>
        <v>0</v>
      </c>
      <c r="M27" s="142"/>
      <c r="N27" s="141"/>
      <c r="O27" s="142"/>
      <c r="P27" s="143"/>
      <c r="Q27" s="143"/>
      <c r="R27" s="143"/>
      <c r="S27" s="141"/>
      <c r="T27" s="142"/>
      <c r="U27" s="150">
        <f t="shared" si="1"/>
        <v>0</v>
      </c>
    </row>
    <row r="28" spans="1:30" s="8" customFormat="1" x14ac:dyDescent="0.25">
      <c r="A28" s="131" t="s">
        <v>608</v>
      </c>
      <c r="B28" s="4" t="s">
        <v>548</v>
      </c>
      <c r="C28" s="4"/>
      <c r="D28" s="173"/>
      <c r="E28" s="173"/>
      <c r="F28" s="173"/>
      <c r="G28" s="160"/>
      <c r="H28" s="145">
        <f>+(D5+E5+F5)*6776</f>
        <v>0</v>
      </c>
      <c r="I28" s="145">
        <f>+(D5+E5+F5)*6776*(-VLOOKUP(VLOOKUP(B1,Gemeenten!A:B,2,0),'Aandeel in GF'!A:C,3,0))</f>
        <v>0</v>
      </c>
      <c r="J28" s="145"/>
      <c r="K28" s="145">
        <f>-H28-I28</f>
        <v>0</v>
      </c>
      <c r="L28" s="144">
        <f t="shared" si="0"/>
        <v>0</v>
      </c>
      <c r="M28" s="142"/>
      <c r="N28" s="144"/>
      <c r="O28" s="142"/>
      <c r="P28" s="145"/>
      <c r="Q28" s="145"/>
      <c r="R28" s="145"/>
      <c r="S28" s="144"/>
      <c r="T28" s="142"/>
      <c r="U28" s="151">
        <f t="shared" si="1"/>
        <v>0</v>
      </c>
      <c r="V28" s="4"/>
      <c r="X28" s="60"/>
      <c r="Y28" s="118"/>
    </row>
    <row r="29" spans="1:30" s="8" customFormat="1" x14ac:dyDescent="0.25">
      <c r="A29" s="8" t="s">
        <v>562</v>
      </c>
      <c r="D29" s="176"/>
      <c r="E29" s="176"/>
      <c r="F29" s="176"/>
      <c r="G29" s="161"/>
      <c r="H29" s="146"/>
      <c r="I29" s="146"/>
      <c r="J29" s="146"/>
      <c r="K29" s="146"/>
      <c r="L29" s="146"/>
      <c r="M29" s="147"/>
      <c r="N29" s="146"/>
      <c r="O29" s="147"/>
      <c r="P29" s="146"/>
      <c r="Q29" s="146"/>
      <c r="R29" s="146"/>
      <c r="S29" s="146"/>
      <c r="T29" s="147"/>
      <c r="U29" s="146"/>
      <c r="X29" s="60"/>
      <c r="Y29" s="118"/>
    </row>
    <row r="30" spans="1:30" x14ac:dyDescent="0.25">
      <c r="A30" s="131" t="s">
        <v>608</v>
      </c>
      <c r="B30" s="4" t="s">
        <v>23</v>
      </c>
      <c r="D30" s="173">
        <f>'Diverse prijzen'!B79</f>
        <v>1157.692688049322</v>
      </c>
      <c r="E30" s="173">
        <f t="shared" ref="E30:F33" si="2">D30</f>
        <v>1157.692688049322</v>
      </c>
      <c r="F30" s="173">
        <f t="shared" si="2"/>
        <v>1157.692688049322</v>
      </c>
      <c r="G30" s="160"/>
      <c r="H30" s="153"/>
      <c r="I30" s="149"/>
      <c r="J30" s="149"/>
      <c r="K30" s="149"/>
      <c r="L30" s="148">
        <f>SUM(H30:K30)</f>
        <v>0</v>
      </c>
      <c r="M30" s="142"/>
      <c r="N30" s="148"/>
      <c r="O30" s="142"/>
      <c r="P30" s="149"/>
      <c r="Q30" s="149"/>
      <c r="R30" s="149">
        <f>D30*D$4+E30*E$4+F30*F$4</f>
        <v>0</v>
      </c>
      <c r="S30" s="148">
        <f>SUM(P30:R30)</f>
        <v>0</v>
      </c>
      <c r="T30" s="142"/>
      <c r="U30" s="152">
        <f>L30+N30+S30</f>
        <v>0</v>
      </c>
    </row>
    <row r="31" spans="1:30" x14ac:dyDescent="0.25">
      <c r="A31" s="131" t="s">
        <v>608</v>
      </c>
      <c r="B31" s="4" t="s">
        <v>462</v>
      </c>
      <c r="D31" s="173">
        <f>'Diverse prijzen'!B84</f>
        <v>649.08258311055181</v>
      </c>
      <c r="E31" s="173">
        <f t="shared" si="2"/>
        <v>649.08258311055181</v>
      </c>
      <c r="F31" s="173">
        <f t="shared" si="2"/>
        <v>649.08258311055181</v>
      </c>
      <c r="G31" s="160"/>
      <c r="H31" s="154"/>
      <c r="I31" s="143">
        <f>D31*D$4+E31*E$4+F31*F$4</f>
        <v>0</v>
      </c>
      <c r="J31" s="143"/>
      <c r="K31" s="143"/>
      <c r="L31" s="141">
        <f>SUM(H31:K31)</f>
        <v>0</v>
      </c>
      <c r="M31" s="142"/>
      <c r="N31" s="141"/>
      <c r="O31" s="142"/>
      <c r="P31" s="143"/>
      <c r="Q31" s="143"/>
      <c r="R31" s="154"/>
      <c r="S31" s="141"/>
      <c r="T31" s="142"/>
      <c r="U31" s="150">
        <f>L31+N31+S31</f>
        <v>0</v>
      </c>
      <c r="X31" s="133" t="s">
        <v>615</v>
      </c>
    </row>
    <row r="32" spans="1:30" x14ac:dyDescent="0.25">
      <c r="A32" s="131" t="s">
        <v>608</v>
      </c>
      <c r="B32" s="4" t="s">
        <v>463</v>
      </c>
      <c r="D32" s="173">
        <f>'Diverse prijzen'!B88</f>
        <v>230.45331107849174</v>
      </c>
      <c r="E32" s="173">
        <f t="shared" si="2"/>
        <v>230.45331107849174</v>
      </c>
      <c r="F32" s="173">
        <f t="shared" si="2"/>
        <v>230.45331107849174</v>
      </c>
      <c r="G32" s="160"/>
      <c r="H32" s="154"/>
      <c r="I32" s="143">
        <f>IF(SUM(P16:P22)&gt;0,'Diverse prijzen'!B86*SUM(Rekenblad!D4:F4),0)-Rekenblad!P32</f>
        <v>0</v>
      </c>
      <c r="J32" s="143"/>
      <c r="K32" s="143"/>
      <c r="L32" s="141">
        <f>SUM(H32:K32)</f>
        <v>0</v>
      </c>
      <c r="M32" s="142"/>
      <c r="N32" s="141"/>
      <c r="O32" s="142"/>
      <c r="P32" s="143">
        <f>-(IF(D16*D6/D8&lt;D22,0,(D6/D8*D16-D22)/(D16-D22))*'Diverse prijzen'!$B87*(D4-D5)+IF(E16*E6/E8&lt;E22,0,(E6/E8*E16-E22)/(E16-E22))*'Diverse prijzen'!$B87*(E4-E5)+IF(F16*F6/F8&lt;F22,0,(F6/F8*F16-F22)/(F16-F22))*'Diverse prijzen'!$B87*(F4-F5))</f>
        <v>0</v>
      </c>
      <c r="Q32" s="143"/>
      <c r="R32" s="154"/>
      <c r="S32" s="141">
        <f>SUM(P32:R32)</f>
        <v>0</v>
      </c>
      <c r="T32" s="142"/>
      <c r="U32" s="150">
        <f>L32+N32+S32</f>
        <v>0</v>
      </c>
      <c r="X32" s="134" t="s">
        <v>616</v>
      </c>
      <c r="Y32" s="4"/>
      <c r="Z32"/>
    </row>
    <row r="33" spans="1:25" x14ac:dyDescent="0.25">
      <c r="A33" s="131" t="s">
        <v>608</v>
      </c>
      <c r="B33" s="4" t="s">
        <v>24</v>
      </c>
      <c r="D33" s="173">
        <f>'Diverse prijzen'!B92</f>
        <v>102.84370717625652</v>
      </c>
      <c r="E33" s="173">
        <f t="shared" si="2"/>
        <v>102.84370717625652</v>
      </c>
      <c r="F33" s="173">
        <f t="shared" si="2"/>
        <v>102.84370717625652</v>
      </c>
      <c r="G33" s="160"/>
      <c r="H33" s="154"/>
      <c r="I33" s="143"/>
      <c r="J33" s="143"/>
      <c r="K33" s="143"/>
      <c r="L33" s="141"/>
      <c r="M33" s="142"/>
      <c r="N33" s="141">
        <f>'Diverse prijzen'!B90*SUM(Rekenblad!D4:F4)</f>
        <v>0</v>
      </c>
      <c r="O33" s="142"/>
      <c r="P33" s="143"/>
      <c r="Q33" s="143"/>
      <c r="R33" s="143">
        <f>'Diverse prijzen'!B91*SUM(Rekenblad!D4:F4)</f>
        <v>0</v>
      </c>
      <c r="S33" s="141">
        <f>SUM(P33:R33)</f>
        <v>0</v>
      </c>
      <c r="T33" s="142"/>
      <c r="U33" s="150">
        <f>L33+N33+S33</f>
        <v>0</v>
      </c>
      <c r="X33" s="159">
        <f>SUM(U30:U34)</f>
        <v>0</v>
      </c>
    </row>
    <row r="34" spans="1:25" x14ac:dyDescent="0.25">
      <c r="A34" s="131" t="s">
        <v>608</v>
      </c>
      <c r="B34" s="4" t="s">
        <v>25</v>
      </c>
      <c r="D34" s="173">
        <v>2000</v>
      </c>
      <c r="E34" s="173">
        <v>2500</v>
      </c>
      <c r="F34" s="173">
        <v>3000</v>
      </c>
      <c r="G34" s="160"/>
      <c r="H34" s="143"/>
      <c r="I34" s="143"/>
      <c r="J34" s="143"/>
      <c r="K34" s="143"/>
      <c r="L34" s="141"/>
      <c r="M34" s="142"/>
      <c r="N34" s="141"/>
      <c r="O34" s="142"/>
      <c r="P34" s="143">
        <f>(D34*D4+E34*E4+F34*F4)</f>
        <v>0</v>
      </c>
      <c r="Q34" s="143"/>
      <c r="R34" s="143"/>
      <c r="S34" s="141">
        <f>SUM(P34:R34)</f>
        <v>0</v>
      </c>
      <c r="T34" s="142"/>
      <c r="U34" s="150">
        <f>L34+N34+S34</f>
        <v>0</v>
      </c>
    </row>
    <row r="35" spans="1:25" x14ac:dyDescent="0.25">
      <c r="D35" s="162"/>
      <c r="E35" s="162"/>
      <c r="F35" s="162"/>
      <c r="G35" s="160"/>
      <c r="H35" s="155"/>
      <c r="I35" s="155"/>
      <c r="J35" s="155"/>
      <c r="K35" s="155"/>
      <c r="L35" s="156"/>
      <c r="M35" s="155"/>
      <c r="N35" s="156"/>
      <c r="O35" s="155"/>
      <c r="P35" s="155"/>
      <c r="Q35" s="155"/>
      <c r="R35" s="155"/>
      <c r="S35" s="156"/>
      <c r="T35" s="155"/>
      <c r="U35" s="156"/>
    </row>
    <row r="36" spans="1:25" s="8" customFormat="1" x14ac:dyDescent="0.25">
      <c r="A36" s="8" t="s">
        <v>533</v>
      </c>
      <c r="D36" s="163"/>
      <c r="E36" s="163"/>
      <c r="F36" s="163"/>
      <c r="G36" s="161"/>
      <c r="H36" s="141">
        <f>SUM(H16:H34)</f>
        <v>0</v>
      </c>
      <c r="I36" s="141">
        <f>SUM(I16:I34)</f>
        <v>0</v>
      </c>
      <c r="J36" s="141">
        <f>SUM(J16:J34)</f>
        <v>0</v>
      </c>
      <c r="K36" s="141">
        <f>SUM(K16:K34)</f>
        <v>0</v>
      </c>
      <c r="L36" s="141">
        <f>SUM(L16:L34)</f>
        <v>0</v>
      </c>
      <c r="M36" s="147"/>
      <c r="N36" s="141">
        <f>SUM(N16:N34)</f>
        <v>0</v>
      </c>
      <c r="O36" s="157"/>
      <c r="P36" s="141">
        <f>SUM(P16:P34)</f>
        <v>0</v>
      </c>
      <c r="Q36" s="141">
        <f>SUM(Q16:Q34)</f>
        <v>0</v>
      </c>
      <c r="R36" s="141">
        <f>SUM(R16:R34)</f>
        <v>0</v>
      </c>
      <c r="S36" s="141">
        <f>SUM(S16:S34)</f>
        <v>0</v>
      </c>
      <c r="T36" s="157"/>
      <c r="U36" s="158">
        <f>SUM(U16:U34)</f>
        <v>0</v>
      </c>
      <c r="W36" s="66"/>
      <c r="X36" s="60"/>
      <c r="Y36" s="119"/>
    </row>
    <row r="37" spans="1:25" x14ac:dyDescent="0.25">
      <c r="H37" s="10"/>
      <c r="I37" s="10"/>
      <c r="J37" s="9"/>
      <c r="K37" s="9"/>
      <c r="L37" s="60"/>
      <c r="M37" s="9"/>
      <c r="N37" s="60"/>
      <c r="O37" s="9"/>
      <c r="P37" s="9"/>
      <c r="Q37" s="9"/>
      <c r="R37" s="9"/>
      <c r="S37" s="60"/>
      <c r="T37" s="9"/>
    </row>
    <row r="38" spans="1:25" ht="15.75" hidden="1" x14ac:dyDescent="0.25">
      <c r="A38" s="69" t="s">
        <v>441</v>
      </c>
      <c r="B38" s="6"/>
      <c r="C38" s="6"/>
      <c r="D38" s="6"/>
      <c r="E38" s="6"/>
      <c r="F38" s="6"/>
      <c r="G38" s="164"/>
      <c r="H38" s="6"/>
      <c r="I38" s="6"/>
      <c r="J38" s="6"/>
      <c r="K38" s="6"/>
      <c r="L38" s="5"/>
      <c r="M38" s="6"/>
      <c r="N38" s="5"/>
      <c r="O38" s="6"/>
      <c r="P38" s="6"/>
      <c r="Q38" s="6"/>
      <c r="R38" s="6"/>
      <c r="S38" s="5"/>
      <c r="T38" s="6"/>
      <c r="U38" s="6"/>
      <c r="V38" s="6"/>
      <c r="W38" s="164"/>
    </row>
    <row r="39" spans="1:25" hidden="1" x14ac:dyDescent="0.25">
      <c r="G39" s="8"/>
      <c r="H39" s="8"/>
      <c r="I39" s="8"/>
      <c r="J39" s="8"/>
      <c r="K39" s="8"/>
      <c r="M39" s="8"/>
      <c r="O39" s="8"/>
      <c r="P39" s="8"/>
      <c r="Q39" s="8"/>
      <c r="R39" s="8"/>
      <c r="T39" s="8"/>
      <c r="U39" s="8"/>
      <c r="V39" s="8"/>
    </row>
    <row r="40" spans="1:25" ht="48" hidden="1" x14ac:dyDescent="0.25">
      <c r="B40" s="125"/>
      <c r="C40" s="61"/>
      <c r="D40" s="63"/>
      <c r="E40" s="63"/>
      <c r="F40" s="63"/>
      <c r="G40" s="62"/>
      <c r="H40" s="64" t="s">
        <v>610</v>
      </c>
      <c r="I40" s="64" t="s">
        <v>438</v>
      </c>
      <c r="J40" s="64" t="s">
        <v>420</v>
      </c>
      <c r="K40" s="64" t="s">
        <v>437</v>
      </c>
      <c r="L40" s="19" t="s">
        <v>425</v>
      </c>
      <c r="M40" s="64"/>
      <c r="N40" s="19" t="s">
        <v>3</v>
      </c>
      <c r="O40" s="64"/>
      <c r="P40" s="64" t="s">
        <v>4</v>
      </c>
      <c r="Q40" s="64" t="s">
        <v>5</v>
      </c>
      <c r="R40" s="64" t="s">
        <v>439</v>
      </c>
      <c r="S40" s="19" t="s">
        <v>559</v>
      </c>
      <c r="T40" s="64"/>
      <c r="U40" s="19" t="s">
        <v>619</v>
      </c>
    </row>
    <row r="41" spans="1:25" hidden="1" x14ac:dyDescent="0.25">
      <c r="A41" s="4" t="s">
        <v>620</v>
      </c>
      <c r="B41" s="125"/>
      <c r="C41" s="61"/>
      <c r="D41" s="59"/>
      <c r="E41" s="59"/>
      <c r="F41" s="59"/>
      <c r="H41" s="165">
        <f>SUM(H16:H20)</f>
        <v>0</v>
      </c>
      <c r="I41" s="165">
        <f>SUM(I16:I20)</f>
        <v>0</v>
      </c>
      <c r="J41" s="165">
        <f>SUM(J16:J20)</f>
        <v>0</v>
      </c>
      <c r="K41" s="165">
        <f>SUM(K16:K20)</f>
        <v>0</v>
      </c>
      <c r="L41" s="143">
        <f>SUM(L16:L20)</f>
        <v>0</v>
      </c>
      <c r="M41" s="59"/>
      <c r="N41" s="143">
        <f>SUM(N16:N20)</f>
        <v>0</v>
      </c>
      <c r="O41" s="59"/>
      <c r="P41" s="165">
        <f>SUM(P16:P20)</f>
        <v>0</v>
      </c>
      <c r="Q41" s="165">
        <f>SUM(Q16:Q20)</f>
        <v>0</v>
      </c>
      <c r="R41" s="165">
        <f>SUM(R16:R20)</f>
        <v>0</v>
      </c>
      <c r="S41" s="143">
        <f>SUM(S16:S20)</f>
        <v>0</v>
      </c>
      <c r="T41" s="59"/>
      <c r="U41" s="143">
        <f>SUM(U16:U20)</f>
        <v>0</v>
      </c>
    </row>
    <row r="42" spans="1:25" hidden="1" x14ac:dyDescent="0.25">
      <c r="A42" s="4" t="s">
        <v>621</v>
      </c>
      <c r="B42" s="8"/>
      <c r="C42" s="8"/>
      <c r="D42" s="59"/>
      <c r="E42" s="59"/>
      <c r="F42" s="59"/>
      <c r="H42" s="166">
        <f>SUM(H22:H28)</f>
        <v>0</v>
      </c>
      <c r="I42" s="166">
        <f>SUM(I22:I28)</f>
        <v>0</v>
      </c>
      <c r="J42" s="166">
        <f>SUM(J22:J28)</f>
        <v>0</v>
      </c>
      <c r="K42" s="166">
        <f>SUM(K22:K28)</f>
        <v>0</v>
      </c>
      <c r="L42" s="149">
        <f>SUM(L22:L28)</f>
        <v>0</v>
      </c>
      <c r="M42" s="59"/>
      <c r="N42" s="149">
        <f>SUM(N22:N28)</f>
        <v>0</v>
      </c>
      <c r="O42" s="59"/>
      <c r="P42" s="166">
        <f>SUM(P22:P28)</f>
        <v>0</v>
      </c>
      <c r="Q42" s="166">
        <f>SUM(Q22:Q28)</f>
        <v>0</v>
      </c>
      <c r="R42" s="166">
        <f>SUM(R22:R28)</f>
        <v>0</v>
      </c>
      <c r="S42" s="149">
        <f>SUM(S22:S28)</f>
        <v>0</v>
      </c>
      <c r="T42" s="59"/>
      <c r="U42" s="149">
        <f>SUM(U22:U28)</f>
        <v>0</v>
      </c>
    </row>
    <row r="43" spans="1:25" hidden="1" x14ac:dyDescent="0.25">
      <c r="A43" s="4" t="s">
        <v>622</v>
      </c>
      <c r="B43" s="8"/>
      <c r="C43" s="8"/>
      <c r="D43" s="59"/>
      <c r="E43" s="59"/>
      <c r="F43" s="59"/>
      <c r="H43" s="166">
        <f>SUM(H30:H34)</f>
        <v>0</v>
      </c>
      <c r="I43" s="166">
        <f>SUM(I30:I34)</f>
        <v>0</v>
      </c>
      <c r="J43" s="166">
        <f>SUM(J30:J34)</f>
        <v>0</v>
      </c>
      <c r="K43" s="166">
        <f>SUM(K30:K34)</f>
        <v>0</v>
      </c>
      <c r="L43" s="149">
        <f>SUM(L30:L34)</f>
        <v>0</v>
      </c>
      <c r="M43" s="59"/>
      <c r="N43" s="149">
        <f>SUM(N30:N34)</f>
        <v>0</v>
      </c>
      <c r="O43" s="59"/>
      <c r="P43" s="166">
        <f>SUM(P30:P34)</f>
        <v>0</v>
      </c>
      <c r="Q43" s="166">
        <f>SUM(Q30:Q34)</f>
        <v>0</v>
      </c>
      <c r="R43" s="166">
        <f>SUM(R30:R34)</f>
        <v>0</v>
      </c>
      <c r="S43" s="149">
        <f>SUM(S30:S34)</f>
        <v>0</v>
      </c>
      <c r="T43" s="59"/>
      <c r="U43" s="149">
        <f>SUM(U30:U34)</f>
        <v>0</v>
      </c>
    </row>
    <row r="44" spans="1:25" s="8" customFormat="1" hidden="1" x14ac:dyDescent="0.25">
      <c r="A44" s="8" t="s">
        <v>533</v>
      </c>
      <c r="G44" s="66"/>
      <c r="H44" s="167">
        <f>SUM(H41:H43)</f>
        <v>0</v>
      </c>
      <c r="I44" s="167">
        <f t="shared" ref="I44:L44" si="3">SUM(I41:I43)</f>
        <v>0</v>
      </c>
      <c r="J44" s="167">
        <f t="shared" si="3"/>
        <v>0</v>
      </c>
      <c r="K44" s="167">
        <f t="shared" si="3"/>
        <v>0</v>
      </c>
      <c r="L44" s="141">
        <f t="shared" si="3"/>
        <v>0</v>
      </c>
      <c r="M44" s="168"/>
      <c r="N44" s="141">
        <f>SUM(N41:N43)</f>
        <v>0</v>
      </c>
      <c r="O44" s="169"/>
      <c r="P44" s="167">
        <f>SUM(P41:P43)</f>
        <v>0</v>
      </c>
      <c r="Q44" s="167">
        <f t="shared" ref="Q44:U44" si="4">SUM(Q41:Q43)</f>
        <v>0</v>
      </c>
      <c r="R44" s="167">
        <f t="shared" si="4"/>
        <v>0</v>
      </c>
      <c r="S44" s="141">
        <f t="shared" si="4"/>
        <v>0</v>
      </c>
      <c r="T44" s="169"/>
      <c r="U44" s="141">
        <f t="shared" si="4"/>
        <v>0</v>
      </c>
      <c r="W44" s="66"/>
      <c r="X44" s="60"/>
      <c r="Y44" s="119"/>
    </row>
    <row r="45" spans="1:25" hidden="1" x14ac:dyDescent="0.25"/>
    <row r="46" spans="1:25" hidden="1" x14ac:dyDescent="0.25"/>
    <row r="47" spans="1:25" hidden="1" x14ac:dyDescent="0.25">
      <c r="H47" s="14"/>
      <c r="I47" s="14"/>
      <c r="J47" s="14"/>
      <c r="K47" s="14"/>
      <c r="L47" s="67"/>
      <c r="M47" s="14"/>
      <c r="N47" s="67"/>
      <c r="O47" s="14"/>
      <c r="P47" s="14"/>
      <c r="Q47" s="14"/>
      <c r="R47" s="14"/>
      <c r="S47" s="67"/>
      <c r="T47" s="14"/>
      <c r="U47" s="7"/>
    </row>
    <row r="48" spans="1:25" x14ac:dyDescent="0.25">
      <c r="H48" s="15"/>
      <c r="I48" s="15"/>
      <c r="J48" s="15"/>
      <c r="K48" s="15"/>
      <c r="L48" s="68"/>
      <c r="M48" s="15"/>
      <c r="N48" s="68"/>
      <c r="O48" s="15"/>
      <c r="P48" s="15"/>
      <c r="Q48" s="58"/>
      <c r="R48" s="15"/>
      <c r="S48" s="68"/>
      <c r="T48" s="15"/>
      <c r="U48" s="7"/>
    </row>
    <row r="49" spans="8:21" x14ac:dyDescent="0.25">
      <c r="H49" s="15"/>
      <c r="I49" s="15"/>
      <c r="J49" s="15"/>
      <c r="K49" s="15"/>
      <c r="L49" s="68"/>
      <c r="M49" s="15"/>
      <c r="N49" s="68"/>
      <c r="O49" s="15"/>
      <c r="P49" s="15"/>
      <c r="Q49" s="58"/>
      <c r="R49" s="15"/>
      <c r="S49" s="68"/>
      <c r="T49" s="15"/>
      <c r="U49" s="7"/>
    </row>
    <row r="50" spans="8:21" x14ac:dyDescent="0.25">
      <c r="H50" s="14"/>
      <c r="I50" s="14"/>
      <c r="J50" s="14"/>
      <c r="K50" s="14"/>
      <c r="L50" s="67"/>
      <c r="M50" s="14"/>
      <c r="N50" s="67"/>
      <c r="O50" s="14"/>
      <c r="P50" s="14"/>
      <c r="Q50" s="14"/>
      <c r="R50" s="14"/>
      <c r="S50" s="67"/>
      <c r="T50" s="14"/>
      <c r="U50" s="7"/>
    </row>
    <row r="51" spans="8:21" x14ac:dyDescent="0.25">
      <c r="H51" s="14"/>
      <c r="I51" s="14"/>
      <c r="J51" s="14"/>
      <c r="K51" s="14"/>
      <c r="L51" s="67"/>
      <c r="M51" s="14"/>
      <c r="N51" s="67"/>
      <c r="O51" s="14"/>
      <c r="P51" s="14"/>
      <c r="Q51" s="14"/>
      <c r="R51" s="14"/>
      <c r="S51" s="67"/>
      <c r="T51" s="14"/>
      <c r="U51" s="7"/>
    </row>
    <row r="52" spans="8:21" x14ac:dyDescent="0.25">
      <c r="I52" s="14"/>
      <c r="J52" s="14"/>
      <c r="K52" s="14"/>
      <c r="L52" s="67"/>
      <c r="M52" s="14"/>
      <c r="N52" s="67"/>
      <c r="O52" s="14"/>
      <c r="P52" s="14"/>
      <c r="Q52" s="14"/>
      <c r="R52" s="14"/>
      <c r="S52" s="67"/>
      <c r="T52" s="14"/>
      <c r="U52" s="7"/>
    </row>
    <row r="53" spans="8:21" x14ac:dyDescent="0.25">
      <c r="H53" s="14"/>
      <c r="I53" s="14"/>
      <c r="J53" s="14"/>
      <c r="K53" s="14"/>
      <c r="L53" s="67"/>
      <c r="M53" s="14"/>
      <c r="N53" s="67"/>
      <c r="O53" s="14"/>
      <c r="P53" s="14"/>
      <c r="Q53" s="14"/>
      <c r="R53" s="14"/>
      <c r="S53" s="67"/>
      <c r="T53" s="14"/>
      <c r="U53" s="7"/>
    </row>
    <row r="54" spans="8:21" x14ac:dyDescent="0.25">
      <c r="H54" s="14"/>
      <c r="I54" s="14"/>
      <c r="J54" s="14"/>
      <c r="K54" s="14"/>
      <c r="L54" s="67"/>
      <c r="M54" s="14"/>
      <c r="N54" s="67"/>
      <c r="O54" s="14"/>
      <c r="P54" s="14"/>
      <c r="Q54" s="14"/>
      <c r="R54" s="14"/>
      <c r="S54" s="67"/>
      <c r="T54" s="14"/>
      <c r="U54" s="7"/>
    </row>
    <row r="55" spans="8:21" x14ac:dyDescent="0.25">
      <c r="H55" s="14"/>
      <c r="I55" s="14"/>
      <c r="J55" s="14"/>
      <c r="K55" s="14"/>
      <c r="L55" s="67"/>
      <c r="M55" s="14"/>
      <c r="N55" s="67"/>
      <c r="O55" s="14"/>
      <c r="P55" s="14"/>
      <c r="Q55" s="14"/>
      <c r="R55" s="14"/>
      <c r="S55" s="67"/>
      <c r="T55" s="14"/>
      <c r="U55" s="59"/>
    </row>
    <row r="59" spans="8:21" x14ac:dyDescent="0.25">
      <c r="H59" s="14"/>
      <c r="I59" s="14"/>
      <c r="J59" s="14"/>
      <c r="K59" s="14"/>
      <c r="L59" s="67"/>
      <c r="M59" s="14"/>
      <c r="N59" s="67"/>
      <c r="O59" s="14"/>
      <c r="P59" s="14"/>
      <c r="Q59" s="14"/>
      <c r="R59" s="14"/>
      <c r="S59" s="67"/>
      <c r="T59" s="14"/>
      <c r="U59" s="14"/>
    </row>
    <row r="60" spans="8:21" x14ac:dyDescent="0.25">
      <c r="H60" s="14"/>
      <c r="I60" s="14"/>
      <c r="J60" s="14"/>
      <c r="K60" s="14"/>
      <c r="L60" s="67"/>
      <c r="M60" s="14"/>
      <c r="N60" s="67"/>
      <c r="O60" s="14"/>
      <c r="P60" s="14"/>
      <c r="Q60" s="14"/>
      <c r="R60" s="14"/>
      <c r="S60" s="67"/>
      <c r="T60" s="14"/>
      <c r="U60" s="14"/>
    </row>
    <row r="61" spans="8:21" x14ac:dyDescent="0.25">
      <c r="H61" s="14"/>
      <c r="I61" s="14"/>
      <c r="J61" s="14"/>
      <c r="K61" s="14"/>
      <c r="L61" s="67"/>
      <c r="M61" s="14"/>
      <c r="N61" s="67"/>
      <c r="O61" s="14"/>
      <c r="P61" s="14"/>
      <c r="Q61" s="14"/>
      <c r="R61" s="14"/>
      <c r="S61" s="67"/>
      <c r="T61" s="14"/>
      <c r="U61" s="14"/>
    </row>
    <row r="62" spans="8:21" x14ac:dyDescent="0.25">
      <c r="H62" s="14"/>
      <c r="I62" s="14"/>
      <c r="J62" s="14"/>
      <c r="K62" s="14"/>
      <c r="L62" s="67"/>
      <c r="M62" s="14"/>
      <c r="N62" s="67"/>
      <c r="O62" s="14"/>
      <c r="P62" s="14"/>
      <c r="Q62" s="14"/>
      <c r="R62" s="14"/>
      <c r="S62" s="67"/>
      <c r="T62" s="14"/>
      <c r="U62" s="14"/>
    </row>
    <row r="63" spans="8:21" x14ac:dyDescent="0.25">
      <c r="H63" s="14"/>
      <c r="I63" s="14"/>
      <c r="J63" s="14"/>
      <c r="K63" s="14"/>
      <c r="L63" s="67"/>
      <c r="M63" s="14"/>
      <c r="N63" s="67"/>
      <c r="O63" s="14"/>
      <c r="P63" s="14"/>
      <c r="Q63" s="14"/>
      <c r="R63" s="14"/>
      <c r="S63" s="67"/>
      <c r="T63" s="14"/>
      <c r="U63" s="14"/>
    </row>
    <row r="64" spans="8:21" x14ac:dyDescent="0.25">
      <c r="H64" s="14"/>
      <c r="I64" s="14"/>
      <c r="J64" s="14"/>
      <c r="K64" s="14"/>
      <c r="L64" s="67"/>
      <c r="M64" s="14"/>
      <c r="N64" s="67"/>
      <c r="O64" s="14"/>
      <c r="P64" s="14"/>
      <c r="Q64" s="14"/>
      <c r="R64" s="14"/>
      <c r="S64" s="67"/>
      <c r="T64" s="14"/>
      <c r="U64" s="14"/>
    </row>
    <row r="65" spans="8:21" x14ac:dyDescent="0.25">
      <c r="H65" s="14"/>
      <c r="I65" s="14"/>
      <c r="J65" s="14"/>
      <c r="K65" s="14"/>
      <c r="L65" s="67"/>
      <c r="M65" s="14"/>
      <c r="N65" s="67"/>
      <c r="O65" s="14"/>
      <c r="P65" s="14"/>
      <c r="Q65" s="14"/>
      <c r="R65" s="14"/>
      <c r="S65" s="67"/>
      <c r="T65" s="14"/>
      <c r="U65" s="14"/>
    </row>
    <row r="66" spans="8:21" x14ac:dyDescent="0.25">
      <c r="H66" s="14"/>
      <c r="I66" s="14"/>
      <c r="J66" s="14"/>
      <c r="K66" s="14"/>
      <c r="L66" s="67"/>
      <c r="M66" s="14"/>
      <c r="N66" s="67"/>
      <c r="O66" s="14"/>
      <c r="P66" s="14"/>
      <c r="Q66" s="14"/>
      <c r="R66" s="14"/>
      <c r="S66" s="67"/>
      <c r="T66" s="14"/>
      <c r="U66" s="14"/>
    </row>
    <row r="67" spans="8:21" x14ac:dyDescent="0.25">
      <c r="H67" s="14"/>
      <c r="I67" s="14"/>
      <c r="J67" s="14"/>
      <c r="K67" s="14"/>
      <c r="L67" s="67"/>
      <c r="M67" s="14"/>
      <c r="N67" s="67"/>
      <c r="O67" s="14"/>
      <c r="P67" s="14"/>
      <c r="Q67" s="14"/>
      <c r="R67" s="14"/>
      <c r="S67" s="67"/>
      <c r="T67" s="14"/>
      <c r="U67" s="14"/>
    </row>
    <row r="68" spans="8:21" x14ac:dyDescent="0.25">
      <c r="H68" s="14"/>
      <c r="I68" s="14"/>
      <c r="J68" s="14"/>
      <c r="K68" s="14"/>
      <c r="L68" s="67"/>
      <c r="M68" s="14"/>
      <c r="N68" s="67"/>
      <c r="O68" s="14"/>
      <c r="P68" s="14"/>
      <c r="Q68" s="14"/>
      <c r="R68" s="14"/>
      <c r="S68" s="67"/>
      <c r="T68" s="14"/>
      <c r="U68" s="14"/>
    </row>
    <row r="69" spans="8:21" x14ac:dyDescent="0.25">
      <c r="H69" s="14"/>
      <c r="I69" s="14"/>
      <c r="J69" s="14"/>
      <c r="K69" s="14"/>
      <c r="L69" s="67"/>
      <c r="M69" s="14"/>
      <c r="N69" s="67"/>
      <c r="O69" s="14"/>
      <c r="P69" s="14"/>
      <c r="Q69" s="14"/>
      <c r="R69" s="14"/>
      <c r="S69" s="67"/>
      <c r="T69" s="14"/>
      <c r="U69" s="14"/>
    </row>
    <row r="70" spans="8:21" x14ac:dyDescent="0.25">
      <c r="H70" s="14"/>
      <c r="I70" s="14"/>
      <c r="J70" s="14"/>
      <c r="K70" s="14"/>
      <c r="L70" s="67"/>
      <c r="M70" s="14"/>
      <c r="N70" s="67"/>
      <c r="O70" s="14"/>
      <c r="P70" s="14"/>
      <c r="Q70" s="14"/>
      <c r="R70" s="14"/>
      <c r="S70" s="67"/>
      <c r="T70" s="14"/>
      <c r="U70" s="14"/>
    </row>
    <row r="71" spans="8:21" x14ac:dyDescent="0.25">
      <c r="H71" s="14"/>
      <c r="I71" s="14"/>
      <c r="J71" s="14"/>
      <c r="K71" s="14"/>
      <c r="L71" s="67"/>
      <c r="M71" s="14"/>
      <c r="N71" s="67"/>
      <c r="O71" s="14"/>
      <c r="P71" s="14"/>
      <c r="Q71" s="14"/>
      <c r="R71" s="14"/>
      <c r="S71" s="67"/>
      <c r="T71" s="14"/>
      <c r="U71" s="14"/>
    </row>
    <row r="72" spans="8:21" x14ac:dyDescent="0.25">
      <c r="H72" s="14"/>
      <c r="I72" s="14"/>
      <c r="J72" s="14"/>
      <c r="K72" s="14"/>
      <c r="L72" s="67"/>
      <c r="M72" s="14"/>
      <c r="N72" s="67"/>
      <c r="O72" s="14"/>
      <c r="P72" s="14"/>
      <c r="Q72" s="14"/>
      <c r="R72" s="14"/>
      <c r="S72" s="67"/>
      <c r="T72" s="14"/>
      <c r="U72" s="14"/>
    </row>
    <row r="73" spans="8:21" x14ac:dyDescent="0.25">
      <c r="H73" s="14"/>
      <c r="I73" s="14"/>
      <c r="J73" s="14"/>
      <c r="K73" s="14"/>
      <c r="L73" s="67"/>
      <c r="M73" s="14"/>
      <c r="N73" s="67"/>
      <c r="O73" s="14"/>
      <c r="P73" s="14"/>
      <c r="Q73" s="14"/>
      <c r="R73" s="14"/>
      <c r="S73" s="67"/>
      <c r="T73" s="14"/>
      <c r="U73" s="14"/>
    </row>
    <row r="74" spans="8:21" x14ac:dyDescent="0.25">
      <c r="H74" s="14"/>
      <c r="I74" s="14"/>
      <c r="J74" s="14"/>
      <c r="K74" s="14"/>
      <c r="L74" s="67"/>
      <c r="M74" s="14"/>
      <c r="N74" s="67"/>
      <c r="O74" s="14"/>
      <c r="P74" s="14"/>
      <c r="Q74" s="14"/>
      <c r="R74" s="14"/>
      <c r="S74" s="67"/>
      <c r="T74" s="14"/>
      <c r="U74" s="14"/>
    </row>
    <row r="75" spans="8:21" x14ac:dyDescent="0.25">
      <c r="H75" s="14"/>
      <c r="I75" s="14"/>
      <c r="J75" s="14"/>
      <c r="K75" s="14"/>
      <c r="L75" s="67"/>
      <c r="M75" s="14"/>
      <c r="N75" s="67"/>
      <c r="O75" s="14"/>
      <c r="P75" s="14"/>
      <c r="Q75" s="14"/>
      <c r="R75" s="14"/>
      <c r="S75" s="67"/>
      <c r="T75" s="14"/>
      <c r="U75" s="14"/>
    </row>
    <row r="76" spans="8:21" x14ac:dyDescent="0.25">
      <c r="H76" s="14"/>
      <c r="I76" s="14"/>
      <c r="J76" s="14"/>
      <c r="K76" s="14"/>
      <c r="L76" s="67"/>
      <c r="M76" s="14"/>
      <c r="N76" s="67"/>
      <c r="O76" s="14"/>
      <c r="P76" s="14"/>
      <c r="Q76" s="14"/>
      <c r="R76" s="14"/>
      <c r="S76" s="67"/>
      <c r="T76" s="14"/>
      <c r="U76" s="14"/>
    </row>
  </sheetData>
  <sheetProtection algorithmName="SHA-512" hashValue="Ty1kCCZBlkFDx8uXASvb+snuy7V9bwhywkDnKD+QLfrVIFc1MblECQ1HK/4fiSbiPp5xIfa1kG2DdxChscuM6g==" saltValue="UAzVw1AXozH+K8aNZ3xnGQ==" spinCount="100000" sheet="1" objects="1" scenarios="1"/>
  <protectedRanges>
    <protectedRange algorithmName="SHA-512" hashValue="akR5W9RILUK/046k6y2b48/1w0h7TTLODw7FE9zciRbFtZX/7K8UPQn5j18XzTb0dY4gJednICksYNzy1t6QhQ==" saltValue="O9Im+pIZVqvQ7JuIQyRWrw==" spinCount="100000" sqref="B1 D4:F6 D8:F11 D16:F16 D18:F20 D22:F22 D24:F27 D30:F34" name="Bereik1"/>
  </protectedRanges>
  <phoneticPr fontId="10" type="noConversion"/>
  <pageMargins left="0.7" right="0.7" top="0.75" bottom="0.75" header="0.3" footer="0.3"/>
  <pageSetup paperSize="9" orientation="portrait" r:id="rId1"/>
  <ignoredErrors>
    <ignoredError sqref="F27 D19:E20 F19 D18:F18 D30:F33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720E1333-50D8-4A8C-AB74-248E3700B499}">
          <x14:formula1>
            <xm:f>Gemeenten!$A$5:$A$347</xm:f>
          </x14:formula1>
          <xm:sqref>C1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65F52-3EF8-439C-A6FE-E80DDCC3A1AC}">
  <dimension ref="A1"/>
  <sheetViews>
    <sheetView showGridLines="0" topLeftCell="A4" zoomScale="85" zoomScaleNormal="85" workbookViewId="0">
      <selection activeCell="T36" sqref="T3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A5335-4A7C-404E-B3E4-528F90D35780}">
  <dimension ref="A1:C343"/>
  <sheetViews>
    <sheetView topLeftCell="A310" workbookViewId="0">
      <selection activeCell="A344" sqref="A344"/>
    </sheetView>
  </sheetViews>
  <sheetFormatPr defaultRowHeight="15" x14ac:dyDescent="0.25"/>
  <sheetData>
    <row r="1" spans="1:3" x14ac:dyDescent="0.25">
      <c r="A1">
        <v>1979</v>
      </c>
      <c r="B1" t="s">
        <v>32</v>
      </c>
      <c r="C1">
        <v>3.0105372693345284E-3</v>
      </c>
    </row>
    <row r="2" spans="1:3" x14ac:dyDescent="0.25">
      <c r="A2">
        <v>14</v>
      </c>
      <c r="B2" t="s">
        <v>33</v>
      </c>
      <c r="C2">
        <v>1.6554500844544462E-2</v>
      </c>
    </row>
    <row r="3" spans="1:3" x14ac:dyDescent="0.25">
      <c r="A3">
        <v>1966</v>
      </c>
      <c r="B3" t="s">
        <v>34</v>
      </c>
      <c r="C3">
        <v>2.7443938505293448E-3</v>
      </c>
    </row>
    <row r="4" spans="1:3" x14ac:dyDescent="0.25">
      <c r="A4">
        <v>1952</v>
      </c>
      <c r="B4" t="s">
        <v>35</v>
      </c>
      <c r="C4">
        <v>3.7199842710897999E-3</v>
      </c>
    </row>
    <row r="5" spans="1:3" x14ac:dyDescent="0.25">
      <c r="A5">
        <v>1895</v>
      </c>
      <c r="B5" t="s">
        <v>36</v>
      </c>
      <c r="C5">
        <v>2.6439585377681552E-3</v>
      </c>
    </row>
    <row r="6" spans="1:3" x14ac:dyDescent="0.25">
      <c r="A6">
        <v>765</v>
      </c>
      <c r="B6" t="s">
        <v>37</v>
      </c>
      <c r="C6">
        <v>8.3413367565692345E-4</v>
      </c>
    </row>
    <row r="7" spans="1:3" x14ac:dyDescent="0.25">
      <c r="A7">
        <v>37</v>
      </c>
      <c r="B7" t="s">
        <v>38</v>
      </c>
      <c r="C7">
        <v>2.1840148504876449E-3</v>
      </c>
    </row>
    <row r="8" spans="1:3" x14ac:dyDescent="0.25">
      <c r="A8">
        <v>47</v>
      </c>
      <c r="B8" t="s">
        <v>39</v>
      </c>
      <c r="C8">
        <v>1.8280846101407506E-3</v>
      </c>
    </row>
    <row r="9" spans="1:3" x14ac:dyDescent="0.25">
      <c r="A9">
        <v>1969</v>
      </c>
      <c r="B9" t="s">
        <v>40</v>
      </c>
      <c r="C9">
        <v>3.1749047110410109E-3</v>
      </c>
    </row>
    <row r="10" spans="1:3" x14ac:dyDescent="0.25">
      <c r="A10">
        <v>1950</v>
      </c>
      <c r="B10" t="s">
        <v>41</v>
      </c>
      <c r="C10">
        <v>1.6298993821331211E-3</v>
      </c>
    </row>
    <row r="11" spans="1:3" x14ac:dyDescent="0.25">
      <c r="A11">
        <v>59</v>
      </c>
      <c r="B11" t="s">
        <v>42</v>
      </c>
      <c r="C11">
        <v>1.5700779963057452E-3</v>
      </c>
    </row>
    <row r="12" spans="1:3" x14ac:dyDescent="0.25">
      <c r="A12">
        <v>60</v>
      </c>
      <c r="B12" t="s">
        <v>43</v>
      </c>
      <c r="C12">
        <v>2.6865702717495163E-4</v>
      </c>
    </row>
    <row r="13" spans="1:3" x14ac:dyDescent="0.25">
      <c r="A13">
        <v>1891</v>
      </c>
      <c r="B13" t="s">
        <v>44</v>
      </c>
      <c r="C13">
        <v>1.0983697126540173E-3</v>
      </c>
    </row>
    <row r="14" spans="1:3" x14ac:dyDescent="0.25">
      <c r="A14">
        <v>1940</v>
      </c>
      <c r="B14" t="s">
        <v>45</v>
      </c>
      <c r="C14">
        <v>2.8497411584566647E-3</v>
      </c>
    </row>
    <row r="15" spans="1:3" x14ac:dyDescent="0.25">
      <c r="A15">
        <v>72</v>
      </c>
      <c r="B15" t="s">
        <v>46</v>
      </c>
      <c r="C15">
        <v>1.1142933549102409E-3</v>
      </c>
    </row>
    <row r="16" spans="1:3" x14ac:dyDescent="0.25">
      <c r="A16">
        <v>74</v>
      </c>
      <c r="B16" t="s">
        <v>47</v>
      </c>
      <c r="C16">
        <v>3.098487475987208E-3</v>
      </c>
    </row>
    <row r="17" spans="1:3" x14ac:dyDescent="0.25">
      <c r="A17">
        <v>80</v>
      </c>
      <c r="B17" t="s">
        <v>48</v>
      </c>
      <c r="C17">
        <v>8.6810435943510643E-3</v>
      </c>
    </row>
    <row r="18" spans="1:3" x14ac:dyDescent="0.25">
      <c r="A18">
        <v>1970</v>
      </c>
      <c r="B18" t="s">
        <v>49</v>
      </c>
      <c r="C18">
        <v>2.7529416813812674E-3</v>
      </c>
    </row>
    <row r="19" spans="1:3" x14ac:dyDescent="0.25">
      <c r="A19">
        <v>85</v>
      </c>
      <c r="B19" t="s">
        <v>50</v>
      </c>
      <c r="C19">
        <v>1.5006717016056335E-3</v>
      </c>
    </row>
    <row r="20" spans="1:3" x14ac:dyDescent="0.25">
      <c r="A20">
        <v>86</v>
      </c>
      <c r="B20" t="s">
        <v>51</v>
      </c>
      <c r="C20">
        <v>1.5629374310126409E-3</v>
      </c>
    </row>
    <row r="21" spans="1:3" x14ac:dyDescent="0.25">
      <c r="A21">
        <v>88</v>
      </c>
      <c r="B21" t="s">
        <v>52</v>
      </c>
      <c r="C21">
        <v>1.1437630865197369E-4</v>
      </c>
    </row>
    <row r="22" spans="1:3" x14ac:dyDescent="0.25">
      <c r="A22">
        <v>90</v>
      </c>
      <c r="B22" t="s">
        <v>53</v>
      </c>
      <c r="C22">
        <v>3.6152106034130398E-3</v>
      </c>
    </row>
    <row r="23" spans="1:3" x14ac:dyDescent="0.25">
      <c r="A23">
        <v>1900</v>
      </c>
      <c r="B23" t="s">
        <v>54</v>
      </c>
      <c r="C23">
        <v>5.5174429173680418E-3</v>
      </c>
    </row>
    <row r="24" spans="1:3" x14ac:dyDescent="0.25">
      <c r="A24">
        <v>93</v>
      </c>
      <c r="B24" t="s">
        <v>55</v>
      </c>
      <c r="C24">
        <v>3.3165566624574595E-4</v>
      </c>
    </row>
    <row r="25" spans="1:3" x14ac:dyDescent="0.25">
      <c r="A25">
        <v>737</v>
      </c>
      <c r="B25" t="s">
        <v>56</v>
      </c>
      <c r="C25">
        <v>1.7209678996829723E-3</v>
      </c>
    </row>
    <row r="26" spans="1:3" x14ac:dyDescent="0.25">
      <c r="A26">
        <v>96</v>
      </c>
      <c r="B26" t="s">
        <v>57</v>
      </c>
      <c r="C26">
        <v>1.3211145543062599E-4</v>
      </c>
    </row>
    <row r="27" spans="1:3" x14ac:dyDescent="0.25">
      <c r="A27">
        <v>1949</v>
      </c>
      <c r="B27" t="s">
        <v>58</v>
      </c>
      <c r="C27">
        <v>2.6822657121747468E-3</v>
      </c>
    </row>
    <row r="28" spans="1:3" x14ac:dyDescent="0.25">
      <c r="A28">
        <v>98</v>
      </c>
      <c r="B28" t="s">
        <v>59</v>
      </c>
      <c r="C28">
        <v>1.6129260877907215E-3</v>
      </c>
    </row>
    <row r="29" spans="1:3" x14ac:dyDescent="0.25">
      <c r="A29">
        <v>1680</v>
      </c>
      <c r="B29" t="s">
        <v>60</v>
      </c>
      <c r="C29">
        <v>1.2886610671980379E-3</v>
      </c>
    </row>
    <row r="30" spans="1:3" x14ac:dyDescent="0.25">
      <c r="A30">
        <v>106</v>
      </c>
      <c r="B30" t="s">
        <v>61</v>
      </c>
      <c r="C30">
        <v>4.1907152988977922E-3</v>
      </c>
    </row>
    <row r="31" spans="1:3" x14ac:dyDescent="0.25">
      <c r="A31">
        <v>1681</v>
      </c>
      <c r="B31" t="s">
        <v>62</v>
      </c>
      <c r="C31">
        <v>1.4348425154470134E-3</v>
      </c>
    </row>
    <row r="32" spans="1:3" x14ac:dyDescent="0.25">
      <c r="A32">
        <v>109</v>
      </c>
      <c r="B32" t="s">
        <v>63</v>
      </c>
      <c r="C32">
        <v>2.0468813579572202E-3</v>
      </c>
    </row>
    <row r="33" spans="1:3" x14ac:dyDescent="0.25">
      <c r="A33">
        <v>1690</v>
      </c>
      <c r="B33" t="s">
        <v>64</v>
      </c>
      <c r="C33">
        <v>1.1872096090803643E-3</v>
      </c>
    </row>
    <row r="34" spans="1:3" x14ac:dyDescent="0.25">
      <c r="A34">
        <v>114</v>
      </c>
      <c r="B34" t="s">
        <v>65</v>
      </c>
      <c r="C34">
        <v>6.9070139836743963E-3</v>
      </c>
    </row>
    <row r="35" spans="1:3" x14ac:dyDescent="0.25">
      <c r="A35">
        <v>118</v>
      </c>
      <c r="B35" t="s">
        <v>66</v>
      </c>
      <c r="C35">
        <v>3.4744216014494967E-3</v>
      </c>
    </row>
    <row r="36" spans="1:3" x14ac:dyDescent="0.25">
      <c r="A36">
        <v>119</v>
      </c>
      <c r="B36" t="s">
        <v>67</v>
      </c>
      <c r="C36">
        <v>1.9992845243330336E-3</v>
      </c>
    </row>
    <row r="37" spans="1:3" x14ac:dyDescent="0.25">
      <c r="A37">
        <v>1731</v>
      </c>
      <c r="B37" t="s">
        <v>68</v>
      </c>
      <c r="C37">
        <v>1.7672697274442829E-3</v>
      </c>
    </row>
    <row r="38" spans="1:3" x14ac:dyDescent="0.25">
      <c r="A38">
        <v>1699</v>
      </c>
      <c r="B38" t="s">
        <v>69</v>
      </c>
      <c r="C38">
        <v>1.6080930091148407E-3</v>
      </c>
    </row>
    <row r="39" spans="1:3" x14ac:dyDescent="0.25">
      <c r="A39">
        <v>1730</v>
      </c>
      <c r="B39" t="s">
        <v>70</v>
      </c>
      <c r="C39">
        <v>1.4960355103010407E-3</v>
      </c>
    </row>
    <row r="40" spans="1:3" x14ac:dyDescent="0.25">
      <c r="A40">
        <v>1701</v>
      </c>
      <c r="B40" t="s">
        <v>71</v>
      </c>
      <c r="C40">
        <v>1.069503813302484E-3</v>
      </c>
    </row>
    <row r="41" spans="1:3" x14ac:dyDescent="0.25">
      <c r="A41">
        <v>141</v>
      </c>
      <c r="B41" t="s">
        <v>72</v>
      </c>
      <c r="C41">
        <v>4.9552318861365947E-3</v>
      </c>
    </row>
    <row r="42" spans="1:3" x14ac:dyDescent="0.25">
      <c r="A42">
        <v>147</v>
      </c>
      <c r="B42" t="s">
        <v>73</v>
      </c>
      <c r="C42">
        <v>1.1090569450949669E-3</v>
      </c>
    </row>
    <row r="43" spans="1:3" x14ac:dyDescent="0.25">
      <c r="A43">
        <v>148</v>
      </c>
      <c r="B43" t="s">
        <v>74</v>
      </c>
      <c r="C43">
        <v>1.3296657951933093E-3</v>
      </c>
    </row>
    <row r="44" spans="1:3" x14ac:dyDescent="0.25">
      <c r="A44">
        <v>150</v>
      </c>
      <c r="B44" t="s">
        <v>75</v>
      </c>
      <c r="C44">
        <v>6.1216929277316656E-3</v>
      </c>
    </row>
    <row r="45" spans="1:3" x14ac:dyDescent="0.25">
      <c r="A45">
        <v>1774</v>
      </c>
      <c r="B45" t="s">
        <v>76</v>
      </c>
      <c r="C45">
        <v>1.1717727229015181E-3</v>
      </c>
    </row>
    <row r="46" spans="1:3" x14ac:dyDescent="0.25">
      <c r="A46">
        <v>153</v>
      </c>
      <c r="B46" t="s">
        <v>77</v>
      </c>
      <c r="C46">
        <v>1.0670789579309864E-2</v>
      </c>
    </row>
    <row r="47" spans="1:3" x14ac:dyDescent="0.25">
      <c r="A47">
        <v>158</v>
      </c>
      <c r="B47" t="s">
        <v>78</v>
      </c>
      <c r="C47">
        <v>1.2809041000259741E-3</v>
      </c>
    </row>
    <row r="48" spans="1:3" x14ac:dyDescent="0.25">
      <c r="A48">
        <v>160</v>
      </c>
      <c r="B48" t="s">
        <v>79</v>
      </c>
      <c r="C48">
        <v>3.1733162637403722E-3</v>
      </c>
    </row>
    <row r="49" spans="1:3" x14ac:dyDescent="0.25">
      <c r="A49">
        <v>163</v>
      </c>
      <c r="B49" t="s">
        <v>80</v>
      </c>
      <c r="C49">
        <v>1.8750021267678401E-3</v>
      </c>
    </row>
    <row r="50" spans="1:3" x14ac:dyDescent="0.25">
      <c r="A50">
        <v>164</v>
      </c>
      <c r="B50" t="s">
        <v>81</v>
      </c>
      <c r="C50">
        <v>4.9897979813841057E-3</v>
      </c>
    </row>
    <row r="51" spans="1:3" x14ac:dyDescent="0.25">
      <c r="A51">
        <v>1735</v>
      </c>
      <c r="B51" t="s">
        <v>82</v>
      </c>
      <c r="C51">
        <v>1.7497563285998525E-3</v>
      </c>
    </row>
    <row r="52" spans="1:3" x14ac:dyDescent="0.25">
      <c r="A52">
        <v>166</v>
      </c>
      <c r="B52" t="s">
        <v>83</v>
      </c>
      <c r="C52">
        <v>3.1136604316978297E-3</v>
      </c>
    </row>
    <row r="53" spans="1:3" x14ac:dyDescent="0.25">
      <c r="A53">
        <v>168</v>
      </c>
      <c r="B53" t="s">
        <v>84</v>
      </c>
      <c r="C53">
        <v>1.1236514580687451E-3</v>
      </c>
    </row>
    <row r="54" spans="1:3" x14ac:dyDescent="0.25">
      <c r="A54">
        <v>173</v>
      </c>
      <c r="B54" t="s">
        <v>85</v>
      </c>
      <c r="C54">
        <v>1.7806619178385049E-3</v>
      </c>
    </row>
    <row r="55" spans="1:3" x14ac:dyDescent="0.25">
      <c r="A55">
        <v>1773</v>
      </c>
      <c r="B55" t="s">
        <v>86</v>
      </c>
      <c r="C55">
        <v>8.5369554844344584E-4</v>
      </c>
    </row>
    <row r="56" spans="1:3" x14ac:dyDescent="0.25">
      <c r="A56">
        <v>175</v>
      </c>
      <c r="B56" t="s">
        <v>87</v>
      </c>
      <c r="C56">
        <v>1.0115698229707386E-3</v>
      </c>
    </row>
    <row r="57" spans="1:3" x14ac:dyDescent="0.25">
      <c r="A57">
        <v>177</v>
      </c>
      <c r="B57" t="s">
        <v>88</v>
      </c>
      <c r="C57">
        <v>1.8407451764375768E-3</v>
      </c>
    </row>
    <row r="58" spans="1:3" x14ac:dyDescent="0.25">
      <c r="A58">
        <v>1742</v>
      </c>
      <c r="B58" t="s">
        <v>89</v>
      </c>
      <c r="C58">
        <v>1.9063703907478224E-3</v>
      </c>
    </row>
    <row r="59" spans="1:3" x14ac:dyDescent="0.25">
      <c r="A59">
        <v>180</v>
      </c>
      <c r="B59" t="s">
        <v>90</v>
      </c>
      <c r="C59">
        <v>8.3382298836227637E-4</v>
      </c>
    </row>
    <row r="60" spans="1:3" x14ac:dyDescent="0.25">
      <c r="A60">
        <v>1708</v>
      </c>
      <c r="B60" t="s">
        <v>91</v>
      </c>
      <c r="C60">
        <v>2.6123003339458468E-3</v>
      </c>
    </row>
    <row r="61" spans="1:3" x14ac:dyDescent="0.25">
      <c r="A61">
        <v>183</v>
      </c>
      <c r="B61" t="s">
        <v>92</v>
      </c>
      <c r="C61">
        <v>9.0551132521307079E-4</v>
      </c>
    </row>
    <row r="62" spans="1:3" x14ac:dyDescent="0.25">
      <c r="A62">
        <v>1700</v>
      </c>
      <c r="B62" t="s">
        <v>93</v>
      </c>
      <c r="C62">
        <v>1.7001708648135619E-3</v>
      </c>
    </row>
    <row r="63" spans="1:3" x14ac:dyDescent="0.25">
      <c r="A63">
        <v>189</v>
      </c>
      <c r="B63" t="s">
        <v>94</v>
      </c>
      <c r="C63">
        <v>1.105691320148972E-3</v>
      </c>
    </row>
    <row r="64" spans="1:3" x14ac:dyDescent="0.25">
      <c r="A64">
        <v>1896</v>
      </c>
      <c r="B64" t="s">
        <v>95</v>
      </c>
      <c r="C64">
        <v>1.0808759930566755E-3</v>
      </c>
    </row>
    <row r="65" spans="1:3" x14ac:dyDescent="0.25">
      <c r="A65">
        <v>193</v>
      </c>
      <c r="B65" t="s">
        <v>96</v>
      </c>
      <c r="C65">
        <v>7.8921956074200286E-3</v>
      </c>
    </row>
    <row r="66" spans="1:3" x14ac:dyDescent="0.25">
      <c r="A66">
        <v>197</v>
      </c>
      <c r="B66" t="s">
        <v>97</v>
      </c>
      <c r="C66">
        <v>1.4516188271999722E-3</v>
      </c>
    </row>
    <row r="67" spans="1:3" x14ac:dyDescent="0.25">
      <c r="A67">
        <v>200</v>
      </c>
      <c r="B67" t="s">
        <v>98</v>
      </c>
      <c r="C67">
        <v>9.5255731431529364E-3</v>
      </c>
    </row>
    <row r="68" spans="1:3" x14ac:dyDescent="0.25">
      <c r="A68">
        <v>202</v>
      </c>
      <c r="B68" t="s">
        <v>99</v>
      </c>
      <c r="C68">
        <v>1.1399656080386988E-2</v>
      </c>
    </row>
    <row r="69" spans="1:3" x14ac:dyDescent="0.25">
      <c r="A69">
        <v>203</v>
      </c>
      <c r="B69" t="s">
        <v>100</v>
      </c>
      <c r="C69">
        <v>2.7808628188542893E-3</v>
      </c>
    </row>
    <row r="70" spans="1:3" x14ac:dyDescent="0.25">
      <c r="A70">
        <v>1945</v>
      </c>
      <c r="B70" t="s">
        <v>101</v>
      </c>
      <c r="C70">
        <v>1.7756270566976389E-3</v>
      </c>
    </row>
    <row r="71" spans="1:3" x14ac:dyDescent="0.25">
      <c r="A71">
        <v>1859</v>
      </c>
      <c r="B71" t="s">
        <v>102</v>
      </c>
      <c r="C71">
        <v>2.3279555956965004E-3</v>
      </c>
    </row>
    <row r="72" spans="1:3" x14ac:dyDescent="0.25">
      <c r="A72">
        <v>209</v>
      </c>
      <c r="B72" t="s">
        <v>103</v>
      </c>
      <c r="C72">
        <v>1.1713526276693198E-3</v>
      </c>
    </row>
    <row r="73" spans="1:3" x14ac:dyDescent="0.25">
      <c r="A73">
        <v>1876</v>
      </c>
      <c r="B73" t="s">
        <v>104</v>
      </c>
      <c r="C73">
        <v>1.7064840038559619E-3</v>
      </c>
    </row>
    <row r="74" spans="1:3" x14ac:dyDescent="0.25">
      <c r="A74">
        <v>213</v>
      </c>
      <c r="B74" t="s">
        <v>105</v>
      </c>
      <c r="C74">
        <v>1.0095299931505541E-3</v>
      </c>
    </row>
    <row r="75" spans="1:3" x14ac:dyDescent="0.25">
      <c r="A75">
        <v>214</v>
      </c>
      <c r="B75" t="s">
        <v>106</v>
      </c>
      <c r="C75">
        <v>1.2043684417085262E-3</v>
      </c>
    </row>
    <row r="76" spans="1:3" x14ac:dyDescent="0.25">
      <c r="A76">
        <v>216</v>
      </c>
      <c r="B76" t="s">
        <v>107</v>
      </c>
      <c r="C76">
        <v>1.5315235728100794E-3</v>
      </c>
    </row>
    <row r="77" spans="1:3" x14ac:dyDescent="0.25">
      <c r="A77">
        <v>221</v>
      </c>
      <c r="B77" t="s">
        <v>108</v>
      </c>
      <c r="C77">
        <v>6.5841422580069006E-4</v>
      </c>
    </row>
    <row r="78" spans="1:3" x14ac:dyDescent="0.25">
      <c r="A78">
        <v>222</v>
      </c>
      <c r="B78" t="s">
        <v>109</v>
      </c>
      <c r="C78">
        <v>3.3767683768961745E-3</v>
      </c>
    </row>
    <row r="79" spans="1:3" x14ac:dyDescent="0.25">
      <c r="A79">
        <v>225</v>
      </c>
      <c r="B79" t="s">
        <v>110</v>
      </c>
      <c r="C79">
        <v>9.3122778046990178E-4</v>
      </c>
    </row>
    <row r="80" spans="1:3" x14ac:dyDescent="0.25">
      <c r="A80">
        <v>226</v>
      </c>
      <c r="B80" t="s">
        <v>111</v>
      </c>
      <c r="C80">
        <v>1.1993287809447053E-3</v>
      </c>
    </row>
    <row r="81" spans="1:3" x14ac:dyDescent="0.25">
      <c r="A81">
        <v>228</v>
      </c>
      <c r="B81" t="s">
        <v>112</v>
      </c>
      <c r="C81">
        <v>6.0526522062427212E-3</v>
      </c>
    </row>
    <row r="82" spans="1:3" x14ac:dyDescent="0.25">
      <c r="A82">
        <v>230</v>
      </c>
      <c r="B82" t="s">
        <v>113</v>
      </c>
      <c r="C82">
        <v>1.1179718909507532E-3</v>
      </c>
    </row>
    <row r="83" spans="1:3" x14ac:dyDescent="0.25">
      <c r="A83">
        <v>232</v>
      </c>
      <c r="B83" t="s">
        <v>114</v>
      </c>
      <c r="C83">
        <v>1.6385205486423885E-3</v>
      </c>
    </row>
    <row r="84" spans="1:3" x14ac:dyDescent="0.25">
      <c r="A84">
        <v>233</v>
      </c>
      <c r="B84" t="s">
        <v>115</v>
      </c>
      <c r="C84">
        <v>1.348646014298476E-3</v>
      </c>
    </row>
    <row r="85" spans="1:3" x14ac:dyDescent="0.25">
      <c r="A85">
        <v>243</v>
      </c>
      <c r="B85" t="s">
        <v>116</v>
      </c>
      <c r="C85">
        <v>2.5482623830695621E-3</v>
      </c>
    </row>
    <row r="86" spans="1:3" x14ac:dyDescent="0.25">
      <c r="A86">
        <v>244</v>
      </c>
      <c r="B86" t="s">
        <v>117</v>
      </c>
      <c r="C86">
        <v>5.7656704971257525E-4</v>
      </c>
    </row>
    <row r="87" spans="1:3" x14ac:dyDescent="0.25">
      <c r="A87">
        <v>246</v>
      </c>
      <c r="B87" t="s">
        <v>118</v>
      </c>
      <c r="C87">
        <v>8.9312121546329096E-4</v>
      </c>
    </row>
    <row r="88" spans="1:3" x14ac:dyDescent="0.25">
      <c r="A88">
        <v>252</v>
      </c>
      <c r="B88" t="s">
        <v>119</v>
      </c>
      <c r="C88">
        <v>7.1866805334668373E-4</v>
      </c>
    </row>
    <row r="89" spans="1:3" x14ac:dyDescent="0.25">
      <c r="A89">
        <v>1705</v>
      </c>
      <c r="B89" t="s">
        <v>120</v>
      </c>
      <c r="C89">
        <v>2.0609218038984615E-3</v>
      </c>
    </row>
    <row r="90" spans="1:3" x14ac:dyDescent="0.25">
      <c r="A90">
        <v>262</v>
      </c>
      <c r="B90" t="s">
        <v>121</v>
      </c>
      <c r="C90">
        <v>1.6364434327377857E-3</v>
      </c>
    </row>
    <row r="91" spans="1:3" x14ac:dyDescent="0.25">
      <c r="A91">
        <v>263</v>
      </c>
      <c r="B91" t="s">
        <v>122</v>
      </c>
      <c r="C91">
        <v>1.1451686975386738E-3</v>
      </c>
    </row>
    <row r="92" spans="1:3" x14ac:dyDescent="0.25">
      <c r="A92">
        <v>1955</v>
      </c>
      <c r="B92" t="s">
        <v>123</v>
      </c>
      <c r="C92">
        <v>1.899988409958996E-3</v>
      </c>
    </row>
    <row r="93" spans="1:3" x14ac:dyDescent="0.25">
      <c r="A93">
        <v>1740</v>
      </c>
      <c r="B93" t="s">
        <v>124</v>
      </c>
      <c r="C93">
        <v>1.1721838498831424E-3</v>
      </c>
    </row>
    <row r="94" spans="1:3" x14ac:dyDescent="0.25">
      <c r="A94">
        <v>267</v>
      </c>
      <c r="B94" t="s">
        <v>125</v>
      </c>
      <c r="C94">
        <v>1.9678465314720475E-3</v>
      </c>
    </row>
    <row r="95" spans="1:3" x14ac:dyDescent="0.25">
      <c r="A95">
        <v>268</v>
      </c>
      <c r="B95" t="s">
        <v>126</v>
      </c>
      <c r="C95">
        <v>1.1929751314227225E-2</v>
      </c>
    </row>
    <row r="96" spans="1:3" x14ac:dyDescent="0.25">
      <c r="A96">
        <v>302</v>
      </c>
      <c r="B96" t="s">
        <v>127</v>
      </c>
      <c r="C96">
        <v>1.4032821293817634E-3</v>
      </c>
    </row>
    <row r="97" spans="1:3" x14ac:dyDescent="0.25">
      <c r="A97">
        <v>269</v>
      </c>
      <c r="B97" t="s">
        <v>128</v>
      </c>
      <c r="C97">
        <v>1.1520159309784436E-3</v>
      </c>
    </row>
    <row r="98" spans="1:3" x14ac:dyDescent="0.25">
      <c r="A98">
        <v>1586</v>
      </c>
      <c r="B98" t="s">
        <v>129</v>
      </c>
      <c r="C98">
        <v>1.4612388278728652E-3</v>
      </c>
    </row>
    <row r="99" spans="1:3" x14ac:dyDescent="0.25">
      <c r="A99">
        <v>1509</v>
      </c>
      <c r="B99" t="s">
        <v>130</v>
      </c>
      <c r="C99">
        <v>2.1575387313127773E-3</v>
      </c>
    </row>
    <row r="100" spans="1:3" x14ac:dyDescent="0.25">
      <c r="A100">
        <v>1734</v>
      </c>
      <c r="B100" t="s">
        <v>131</v>
      </c>
      <c r="C100">
        <v>2.0957242637176235E-3</v>
      </c>
    </row>
    <row r="101" spans="1:3" x14ac:dyDescent="0.25">
      <c r="A101">
        <v>273</v>
      </c>
      <c r="B101" t="s">
        <v>132</v>
      </c>
      <c r="C101">
        <v>1.1573201754654519E-3</v>
      </c>
    </row>
    <row r="102" spans="1:3" x14ac:dyDescent="0.25">
      <c r="A102">
        <v>274</v>
      </c>
      <c r="B102" t="s">
        <v>133</v>
      </c>
      <c r="C102">
        <v>1.5154174933167796E-3</v>
      </c>
    </row>
    <row r="103" spans="1:3" x14ac:dyDescent="0.25">
      <c r="A103">
        <v>275</v>
      </c>
      <c r="B103" t="s">
        <v>134</v>
      </c>
      <c r="C103">
        <v>2.3863857257667709E-3</v>
      </c>
    </row>
    <row r="104" spans="1:3" x14ac:dyDescent="0.25">
      <c r="A104">
        <v>277</v>
      </c>
      <c r="B104" t="s">
        <v>135</v>
      </c>
      <c r="C104">
        <v>1.0464926270706158E-4</v>
      </c>
    </row>
    <row r="105" spans="1:3" x14ac:dyDescent="0.25">
      <c r="A105">
        <v>279</v>
      </c>
      <c r="B105" t="s">
        <v>136</v>
      </c>
      <c r="C105">
        <v>4.3630720338924428E-4</v>
      </c>
    </row>
    <row r="106" spans="1:3" x14ac:dyDescent="0.25">
      <c r="A106">
        <v>281</v>
      </c>
      <c r="B106" t="s">
        <v>137</v>
      </c>
      <c r="C106">
        <v>2.4895699900943542E-3</v>
      </c>
    </row>
    <row r="107" spans="1:3" x14ac:dyDescent="0.25">
      <c r="A107">
        <v>285</v>
      </c>
      <c r="B107" t="s">
        <v>138</v>
      </c>
      <c r="C107">
        <v>1.1694377604799721E-3</v>
      </c>
    </row>
    <row r="108" spans="1:3" x14ac:dyDescent="0.25">
      <c r="A108">
        <v>289</v>
      </c>
      <c r="B108" t="s">
        <v>139</v>
      </c>
      <c r="C108">
        <v>1.9598484401779559E-3</v>
      </c>
    </row>
    <row r="109" spans="1:3" x14ac:dyDescent="0.25">
      <c r="A109">
        <v>1960</v>
      </c>
      <c r="B109" t="s">
        <v>140</v>
      </c>
      <c r="C109">
        <v>2.2850637489426305E-3</v>
      </c>
    </row>
    <row r="110" spans="1:3" x14ac:dyDescent="0.25">
      <c r="A110">
        <v>668</v>
      </c>
      <c r="B110" t="s">
        <v>141</v>
      </c>
      <c r="C110">
        <v>9.4745670122316813E-4</v>
      </c>
    </row>
    <row r="111" spans="1:3" x14ac:dyDescent="0.25">
      <c r="A111">
        <v>293</v>
      </c>
      <c r="B111" t="s">
        <v>142</v>
      </c>
      <c r="C111">
        <v>7.5025437098548127E-4</v>
      </c>
    </row>
    <row r="112" spans="1:3" x14ac:dyDescent="0.25">
      <c r="A112">
        <v>296</v>
      </c>
      <c r="B112" t="s">
        <v>143</v>
      </c>
      <c r="C112">
        <v>2.075402857893495E-3</v>
      </c>
    </row>
    <row r="113" spans="1:3" x14ac:dyDescent="0.25">
      <c r="A113">
        <v>294</v>
      </c>
      <c r="B113" t="s">
        <v>144</v>
      </c>
      <c r="C113">
        <v>1.7375519216688343E-3</v>
      </c>
    </row>
    <row r="114" spans="1:3" x14ac:dyDescent="0.25">
      <c r="A114">
        <v>297</v>
      </c>
      <c r="B114" t="s">
        <v>145</v>
      </c>
      <c r="C114">
        <v>1.4332026688834026E-3</v>
      </c>
    </row>
    <row r="115" spans="1:3" x14ac:dyDescent="0.25">
      <c r="A115">
        <v>299</v>
      </c>
      <c r="B115" t="s">
        <v>146</v>
      </c>
      <c r="C115">
        <v>2.4285394360013491E-3</v>
      </c>
    </row>
    <row r="116" spans="1:3" x14ac:dyDescent="0.25">
      <c r="A116">
        <v>301</v>
      </c>
      <c r="B116" t="s">
        <v>147</v>
      </c>
      <c r="C116">
        <v>2.9685935588005781E-3</v>
      </c>
    </row>
    <row r="117" spans="1:3" x14ac:dyDescent="0.25">
      <c r="A117">
        <v>307</v>
      </c>
      <c r="B117" t="s">
        <v>148</v>
      </c>
      <c r="C117">
        <v>8.5725862132534029E-3</v>
      </c>
    </row>
    <row r="118" spans="1:3" x14ac:dyDescent="0.25">
      <c r="A118">
        <v>308</v>
      </c>
      <c r="B118" t="s">
        <v>149</v>
      </c>
      <c r="C118">
        <v>1.1308686451105283E-3</v>
      </c>
    </row>
    <row r="119" spans="1:3" x14ac:dyDescent="0.25">
      <c r="A119">
        <v>312</v>
      </c>
      <c r="B119" t="s">
        <v>150</v>
      </c>
      <c r="C119">
        <v>5.6151561237319247E-4</v>
      </c>
    </row>
    <row r="120" spans="1:3" x14ac:dyDescent="0.25">
      <c r="A120">
        <v>313</v>
      </c>
      <c r="B120" t="s">
        <v>151</v>
      </c>
      <c r="C120">
        <v>8.9994137164422106E-4</v>
      </c>
    </row>
    <row r="121" spans="1:3" x14ac:dyDescent="0.25">
      <c r="A121">
        <v>310</v>
      </c>
      <c r="B121" t="s">
        <v>152</v>
      </c>
      <c r="C121">
        <v>1.8639996720664369E-3</v>
      </c>
    </row>
    <row r="122" spans="1:3" x14ac:dyDescent="0.25">
      <c r="A122">
        <v>736</v>
      </c>
      <c r="B122" t="s">
        <v>153</v>
      </c>
      <c r="C122">
        <v>1.9474067685487546E-3</v>
      </c>
    </row>
    <row r="123" spans="1:3" x14ac:dyDescent="0.25">
      <c r="A123">
        <v>317</v>
      </c>
      <c r="B123" t="s">
        <v>154</v>
      </c>
      <c r="C123">
        <v>3.7987918648689484E-4</v>
      </c>
    </row>
    <row r="124" spans="1:3" x14ac:dyDescent="0.25">
      <c r="A124">
        <v>321</v>
      </c>
      <c r="B124" t="s">
        <v>155</v>
      </c>
      <c r="C124">
        <v>2.0148499433411088E-3</v>
      </c>
    </row>
    <row r="125" spans="1:3" x14ac:dyDescent="0.25">
      <c r="A125">
        <v>353</v>
      </c>
      <c r="B125" t="s">
        <v>156</v>
      </c>
      <c r="C125">
        <v>1.5290068687842451E-3</v>
      </c>
    </row>
    <row r="126" spans="1:3" x14ac:dyDescent="0.25">
      <c r="A126">
        <v>327</v>
      </c>
      <c r="B126" t="s">
        <v>157</v>
      </c>
      <c r="C126">
        <v>1.2140975229192968E-3</v>
      </c>
    </row>
    <row r="127" spans="1:3" x14ac:dyDescent="0.25">
      <c r="A127">
        <v>331</v>
      </c>
      <c r="B127" t="s">
        <v>158</v>
      </c>
      <c r="C127">
        <v>6.5799561840497141E-4</v>
      </c>
    </row>
    <row r="128" spans="1:3" x14ac:dyDescent="0.25">
      <c r="A128">
        <v>335</v>
      </c>
      <c r="B128" t="s">
        <v>159</v>
      </c>
      <c r="C128">
        <v>5.8197978441205944E-4</v>
      </c>
    </row>
    <row r="129" spans="1:3" x14ac:dyDescent="0.25">
      <c r="A129">
        <v>356</v>
      </c>
      <c r="B129" t="s">
        <v>160</v>
      </c>
      <c r="C129">
        <v>3.3265002201733414E-3</v>
      </c>
    </row>
    <row r="130" spans="1:3" x14ac:dyDescent="0.25">
      <c r="A130">
        <v>589</v>
      </c>
      <c r="B130" t="s">
        <v>161</v>
      </c>
      <c r="C130">
        <v>4.9216342706154845E-4</v>
      </c>
    </row>
    <row r="131" spans="1:3" x14ac:dyDescent="0.25">
      <c r="A131">
        <v>339</v>
      </c>
      <c r="B131" t="s">
        <v>162</v>
      </c>
      <c r="C131">
        <v>2.3529987755203875E-4</v>
      </c>
    </row>
    <row r="132" spans="1:3" x14ac:dyDescent="0.25">
      <c r="A132">
        <v>340</v>
      </c>
      <c r="B132" t="s">
        <v>163</v>
      </c>
      <c r="C132">
        <v>9.4657694451971111E-4</v>
      </c>
    </row>
    <row r="133" spans="1:3" x14ac:dyDescent="0.25">
      <c r="A133">
        <v>342</v>
      </c>
      <c r="B133" t="s">
        <v>164</v>
      </c>
      <c r="C133">
        <v>2.113211362891625E-3</v>
      </c>
    </row>
    <row r="134" spans="1:3" x14ac:dyDescent="0.25">
      <c r="A134">
        <v>1904</v>
      </c>
      <c r="B134" t="s">
        <v>165</v>
      </c>
      <c r="C134">
        <v>2.8444646611219745E-3</v>
      </c>
    </row>
    <row r="135" spans="1:3" x14ac:dyDescent="0.25">
      <c r="A135">
        <v>344</v>
      </c>
      <c r="B135" t="s">
        <v>166</v>
      </c>
      <c r="C135">
        <v>2.1747180826061349E-2</v>
      </c>
    </row>
    <row r="136" spans="1:3" x14ac:dyDescent="0.25">
      <c r="A136">
        <v>1581</v>
      </c>
      <c r="B136" t="s">
        <v>167</v>
      </c>
      <c r="C136">
        <v>2.1063526378851641E-3</v>
      </c>
    </row>
    <row r="137" spans="1:3" x14ac:dyDescent="0.25">
      <c r="A137">
        <v>345</v>
      </c>
      <c r="B137" t="s">
        <v>168</v>
      </c>
      <c r="C137">
        <v>3.6762566637054766E-3</v>
      </c>
    </row>
    <row r="138" spans="1:3" x14ac:dyDescent="0.25">
      <c r="A138">
        <v>1961</v>
      </c>
      <c r="B138" t="s">
        <v>169</v>
      </c>
      <c r="C138">
        <v>2.7838176666017886E-3</v>
      </c>
    </row>
    <row r="139" spans="1:3" x14ac:dyDescent="0.25">
      <c r="A139">
        <v>352</v>
      </c>
      <c r="B139" t="s">
        <v>170</v>
      </c>
      <c r="C139">
        <v>1.0034021878372434E-3</v>
      </c>
    </row>
    <row r="140" spans="1:3" x14ac:dyDescent="0.25">
      <c r="A140">
        <v>632</v>
      </c>
      <c r="B140" t="s">
        <v>171</v>
      </c>
      <c r="C140">
        <v>2.490219619833482E-3</v>
      </c>
    </row>
    <row r="141" spans="1:3" x14ac:dyDescent="0.25">
      <c r="A141">
        <v>351</v>
      </c>
      <c r="B141" t="s">
        <v>172</v>
      </c>
      <c r="C141">
        <v>5.7195836590126037E-4</v>
      </c>
    </row>
    <row r="142" spans="1:3" x14ac:dyDescent="0.25">
      <c r="A142">
        <v>355</v>
      </c>
      <c r="B142" t="s">
        <v>173</v>
      </c>
      <c r="C142">
        <v>3.2269457531690941E-3</v>
      </c>
    </row>
    <row r="143" spans="1:3" x14ac:dyDescent="0.25">
      <c r="A143">
        <v>358</v>
      </c>
      <c r="B143" t="s">
        <v>174</v>
      </c>
      <c r="C143">
        <v>1.3329438445799327E-3</v>
      </c>
    </row>
    <row r="144" spans="1:3" x14ac:dyDescent="0.25">
      <c r="A144">
        <v>361</v>
      </c>
      <c r="B144" t="s">
        <v>175</v>
      </c>
      <c r="C144">
        <v>6.3543381054408541E-3</v>
      </c>
    </row>
    <row r="145" spans="1:3" x14ac:dyDescent="0.25">
      <c r="A145">
        <v>362</v>
      </c>
      <c r="B145" t="s">
        <v>176</v>
      </c>
      <c r="C145">
        <v>4.4818818091438891E-3</v>
      </c>
    </row>
    <row r="146" spans="1:3" x14ac:dyDescent="0.25">
      <c r="A146">
        <v>363</v>
      </c>
      <c r="B146" t="s">
        <v>177</v>
      </c>
      <c r="C146">
        <v>7.0126256602572754E-2</v>
      </c>
    </row>
    <row r="147" spans="1:3" x14ac:dyDescent="0.25">
      <c r="A147">
        <v>373</v>
      </c>
      <c r="B147" t="s">
        <v>178</v>
      </c>
      <c r="C147">
        <v>1.2352471676624786E-3</v>
      </c>
    </row>
    <row r="148" spans="1:3" x14ac:dyDescent="0.25">
      <c r="A148">
        <v>375</v>
      </c>
      <c r="B148" t="s">
        <v>179</v>
      </c>
      <c r="C148">
        <v>2.2584283555781141E-3</v>
      </c>
    </row>
    <row r="149" spans="1:3" x14ac:dyDescent="0.25">
      <c r="A149">
        <v>376</v>
      </c>
      <c r="B149" t="s">
        <v>180</v>
      </c>
      <c r="C149">
        <v>4.6301487856335795E-4</v>
      </c>
    </row>
    <row r="150" spans="1:3" x14ac:dyDescent="0.25">
      <c r="A150">
        <v>377</v>
      </c>
      <c r="B150" t="s">
        <v>181</v>
      </c>
      <c r="C150">
        <v>7.8746779439160277E-4</v>
      </c>
    </row>
    <row r="151" spans="1:3" x14ac:dyDescent="0.25">
      <c r="A151">
        <v>383</v>
      </c>
      <c r="B151" t="s">
        <v>182</v>
      </c>
      <c r="C151">
        <v>1.4470575762730857E-3</v>
      </c>
    </row>
    <row r="152" spans="1:3" x14ac:dyDescent="0.25">
      <c r="A152">
        <v>400</v>
      </c>
      <c r="B152" t="s">
        <v>183</v>
      </c>
      <c r="C152">
        <v>3.5202102258000021E-3</v>
      </c>
    </row>
    <row r="153" spans="1:3" x14ac:dyDescent="0.25">
      <c r="A153">
        <v>384</v>
      </c>
      <c r="B153" t="s">
        <v>184</v>
      </c>
      <c r="C153">
        <v>1.4444547942576869E-3</v>
      </c>
    </row>
    <row r="154" spans="1:3" x14ac:dyDescent="0.25">
      <c r="A154">
        <v>1980</v>
      </c>
      <c r="B154" t="s">
        <v>185</v>
      </c>
      <c r="C154">
        <v>4.3186661672287392E-3</v>
      </c>
    </row>
    <row r="155" spans="1:3" x14ac:dyDescent="0.25">
      <c r="A155">
        <v>498</v>
      </c>
      <c r="B155" t="s">
        <v>186</v>
      </c>
      <c r="C155">
        <v>9.0830764709292603E-4</v>
      </c>
    </row>
    <row r="156" spans="1:3" x14ac:dyDescent="0.25">
      <c r="A156">
        <v>385</v>
      </c>
      <c r="B156" t="s">
        <v>187</v>
      </c>
      <c r="C156">
        <v>1.6481453665134133E-3</v>
      </c>
    </row>
    <row r="157" spans="1:3" x14ac:dyDescent="0.25">
      <c r="A157">
        <v>388</v>
      </c>
      <c r="B157" t="s">
        <v>188</v>
      </c>
      <c r="C157">
        <v>1.1162811646189682E-3</v>
      </c>
    </row>
    <row r="158" spans="1:3" x14ac:dyDescent="0.25">
      <c r="A158">
        <v>1942</v>
      </c>
      <c r="B158" t="s">
        <v>189</v>
      </c>
      <c r="C158">
        <v>2.7006620065378067E-3</v>
      </c>
    </row>
    <row r="159" spans="1:3" x14ac:dyDescent="0.25">
      <c r="A159">
        <v>392</v>
      </c>
      <c r="B159" t="s">
        <v>190</v>
      </c>
      <c r="C159">
        <v>9.3094262671479713E-3</v>
      </c>
    </row>
    <row r="160" spans="1:3" x14ac:dyDescent="0.25">
      <c r="A160">
        <v>394</v>
      </c>
      <c r="B160" t="s">
        <v>191</v>
      </c>
      <c r="C160">
        <v>6.8798963946375483E-3</v>
      </c>
    </row>
    <row r="161" spans="1:3" x14ac:dyDescent="0.25">
      <c r="A161">
        <v>396</v>
      </c>
      <c r="B161" t="s">
        <v>192</v>
      </c>
      <c r="C161">
        <v>2.0078575893715516E-3</v>
      </c>
    </row>
    <row r="162" spans="1:3" x14ac:dyDescent="0.25">
      <c r="A162">
        <v>397</v>
      </c>
      <c r="B162" t="s">
        <v>193</v>
      </c>
      <c r="C162">
        <v>1.0754537055892343E-3</v>
      </c>
    </row>
    <row r="163" spans="1:3" x14ac:dyDescent="0.25">
      <c r="A163">
        <v>399</v>
      </c>
      <c r="B163" t="s">
        <v>194</v>
      </c>
      <c r="C163">
        <v>9.9092543077582856E-4</v>
      </c>
    </row>
    <row r="164" spans="1:3" x14ac:dyDescent="0.25">
      <c r="A164">
        <v>402</v>
      </c>
      <c r="B164" t="s">
        <v>195</v>
      </c>
      <c r="C164">
        <v>5.0932222555762413E-3</v>
      </c>
    </row>
    <row r="165" spans="1:3" x14ac:dyDescent="0.25">
      <c r="A165">
        <v>1911</v>
      </c>
      <c r="B165" t="s">
        <v>196</v>
      </c>
      <c r="C165">
        <v>2.4059943764949154E-3</v>
      </c>
    </row>
    <row r="166" spans="1:3" x14ac:dyDescent="0.25">
      <c r="A166">
        <v>405</v>
      </c>
      <c r="B166" t="s">
        <v>197</v>
      </c>
      <c r="C166">
        <v>4.3176697055949745E-3</v>
      </c>
    </row>
    <row r="167" spans="1:3" x14ac:dyDescent="0.25">
      <c r="A167">
        <v>406</v>
      </c>
      <c r="B167" t="s">
        <v>198</v>
      </c>
      <c r="C167">
        <v>2.0257217414465516E-3</v>
      </c>
    </row>
    <row r="168" spans="1:3" x14ac:dyDescent="0.25">
      <c r="A168">
        <v>1598</v>
      </c>
      <c r="B168" t="s">
        <v>199</v>
      </c>
      <c r="C168">
        <v>9.9853747610128022E-4</v>
      </c>
    </row>
    <row r="169" spans="1:3" x14ac:dyDescent="0.25">
      <c r="A169">
        <v>415</v>
      </c>
      <c r="B169" t="s">
        <v>200</v>
      </c>
      <c r="C169">
        <v>5.1558162737303957E-4</v>
      </c>
    </row>
    <row r="170" spans="1:3" x14ac:dyDescent="0.25">
      <c r="A170">
        <v>417</v>
      </c>
      <c r="B170" t="s">
        <v>201</v>
      </c>
      <c r="C170">
        <v>4.5140787967327365E-4</v>
      </c>
    </row>
    <row r="171" spans="1:3" x14ac:dyDescent="0.25">
      <c r="A171">
        <v>420</v>
      </c>
      <c r="B171" t="s">
        <v>202</v>
      </c>
      <c r="C171">
        <v>2.2440253256297044E-3</v>
      </c>
    </row>
    <row r="172" spans="1:3" x14ac:dyDescent="0.25">
      <c r="A172">
        <v>431</v>
      </c>
      <c r="B172" t="s">
        <v>203</v>
      </c>
      <c r="C172">
        <v>4.4706499961514804E-4</v>
      </c>
    </row>
    <row r="173" spans="1:3" x14ac:dyDescent="0.25">
      <c r="A173">
        <v>432</v>
      </c>
      <c r="B173" t="s">
        <v>204</v>
      </c>
      <c r="C173">
        <v>5.5371912468705619E-4</v>
      </c>
    </row>
    <row r="174" spans="1:3" x14ac:dyDescent="0.25">
      <c r="A174">
        <v>437</v>
      </c>
      <c r="B174" t="s">
        <v>205</v>
      </c>
      <c r="C174">
        <v>6.1928132603468326E-4</v>
      </c>
    </row>
    <row r="175" spans="1:3" x14ac:dyDescent="0.25">
      <c r="A175">
        <v>439</v>
      </c>
      <c r="B175" t="s">
        <v>206</v>
      </c>
      <c r="C175">
        <v>4.9613067488607629E-3</v>
      </c>
    </row>
    <row r="176" spans="1:3" x14ac:dyDescent="0.25">
      <c r="A176">
        <v>441</v>
      </c>
      <c r="B176" t="s">
        <v>207</v>
      </c>
      <c r="C176">
        <v>2.3277691518914082E-3</v>
      </c>
    </row>
    <row r="177" spans="1:3" x14ac:dyDescent="0.25">
      <c r="A177">
        <v>532</v>
      </c>
      <c r="B177" t="s">
        <v>208</v>
      </c>
      <c r="C177">
        <v>1.1684392987545327E-3</v>
      </c>
    </row>
    <row r="178" spans="1:3" x14ac:dyDescent="0.25">
      <c r="A178">
        <v>448</v>
      </c>
      <c r="B178" t="s">
        <v>209</v>
      </c>
      <c r="C178">
        <v>8.6273506897950245E-4</v>
      </c>
    </row>
    <row r="179" spans="1:3" x14ac:dyDescent="0.25">
      <c r="A179">
        <v>450</v>
      </c>
      <c r="B179" t="s">
        <v>210</v>
      </c>
      <c r="C179">
        <v>5.2760358541900426E-4</v>
      </c>
    </row>
    <row r="180" spans="1:3" x14ac:dyDescent="0.25">
      <c r="A180">
        <v>451</v>
      </c>
      <c r="B180" t="s">
        <v>211</v>
      </c>
      <c r="C180">
        <v>1.4373188852803693E-3</v>
      </c>
    </row>
    <row r="181" spans="1:3" x14ac:dyDescent="0.25">
      <c r="A181">
        <v>453</v>
      </c>
      <c r="B181" t="s">
        <v>212</v>
      </c>
      <c r="C181">
        <v>3.5078485889004233E-3</v>
      </c>
    </row>
    <row r="182" spans="1:3" x14ac:dyDescent="0.25">
      <c r="A182">
        <v>852</v>
      </c>
      <c r="B182" t="s">
        <v>213</v>
      </c>
      <c r="C182">
        <v>8.1635652862697863E-4</v>
      </c>
    </row>
    <row r="183" spans="1:3" x14ac:dyDescent="0.25">
      <c r="A183">
        <v>1696</v>
      </c>
      <c r="B183" t="s">
        <v>214</v>
      </c>
      <c r="C183">
        <v>9.9135658558579935E-4</v>
      </c>
    </row>
    <row r="184" spans="1:3" x14ac:dyDescent="0.25">
      <c r="A184">
        <v>880</v>
      </c>
      <c r="B184" t="s">
        <v>215</v>
      </c>
      <c r="C184">
        <v>7.9849472317103799E-4</v>
      </c>
    </row>
    <row r="185" spans="1:3" x14ac:dyDescent="0.25">
      <c r="A185">
        <v>479</v>
      </c>
      <c r="B185" t="s">
        <v>216</v>
      </c>
      <c r="C185">
        <v>9.369161007432748E-3</v>
      </c>
    </row>
    <row r="186" spans="1:3" x14ac:dyDescent="0.25">
      <c r="A186">
        <v>473</v>
      </c>
      <c r="B186" t="s">
        <v>217</v>
      </c>
      <c r="C186">
        <v>8.7761736618449226E-4</v>
      </c>
    </row>
    <row r="187" spans="1:3" x14ac:dyDescent="0.25">
      <c r="A187">
        <v>482</v>
      </c>
      <c r="B187" t="s">
        <v>218</v>
      </c>
      <c r="C187">
        <v>1.0154161499376598E-3</v>
      </c>
    </row>
    <row r="188" spans="1:3" x14ac:dyDescent="0.25">
      <c r="A188">
        <v>613</v>
      </c>
      <c r="B188" t="s">
        <v>219</v>
      </c>
      <c r="C188">
        <v>1.0178255649339874E-3</v>
      </c>
    </row>
    <row r="189" spans="1:3" x14ac:dyDescent="0.25">
      <c r="A189">
        <v>484</v>
      </c>
      <c r="B189" t="s">
        <v>220</v>
      </c>
      <c r="C189">
        <v>5.6500201107817314E-3</v>
      </c>
    </row>
    <row r="190" spans="1:3" x14ac:dyDescent="0.25">
      <c r="A190">
        <v>489</v>
      </c>
      <c r="B190" t="s">
        <v>221</v>
      </c>
      <c r="C190">
        <v>2.1906599611450066E-3</v>
      </c>
    </row>
    <row r="191" spans="1:3" x14ac:dyDescent="0.25">
      <c r="A191">
        <v>1901</v>
      </c>
      <c r="B191" t="s">
        <v>222</v>
      </c>
      <c r="C191">
        <v>1.6158318010737356E-3</v>
      </c>
    </row>
    <row r="192" spans="1:3" x14ac:dyDescent="0.25">
      <c r="A192">
        <v>502</v>
      </c>
      <c r="B192" t="s">
        <v>223</v>
      </c>
      <c r="C192">
        <v>3.9215114410549382E-3</v>
      </c>
    </row>
    <row r="193" spans="1:3" x14ac:dyDescent="0.25">
      <c r="A193">
        <v>503</v>
      </c>
      <c r="B193" t="s">
        <v>224</v>
      </c>
      <c r="C193">
        <v>6.1758191137717732E-3</v>
      </c>
    </row>
    <row r="194" spans="1:3" x14ac:dyDescent="0.25">
      <c r="A194">
        <v>505</v>
      </c>
      <c r="B194" t="s">
        <v>225</v>
      </c>
      <c r="C194">
        <v>7.6999084421758611E-3</v>
      </c>
    </row>
    <row r="195" spans="1:3" x14ac:dyDescent="0.25">
      <c r="A195">
        <v>1924</v>
      </c>
      <c r="B195" t="s">
        <v>226</v>
      </c>
      <c r="C195">
        <v>2.4559972881477918E-3</v>
      </c>
    </row>
    <row r="196" spans="1:3" x14ac:dyDescent="0.25">
      <c r="A196">
        <v>512</v>
      </c>
      <c r="B196" t="s">
        <v>227</v>
      </c>
      <c r="C196">
        <v>2.3132408707353756E-3</v>
      </c>
    </row>
    <row r="197" spans="1:3" x14ac:dyDescent="0.25">
      <c r="A197">
        <v>513</v>
      </c>
      <c r="B197" t="s">
        <v>228</v>
      </c>
      <c r="C197">
        <v>4.7064635956250841E-3</v>
      </c>
    </row>
    <row r="198" spans="1:3" x14ac:dyDescent="0.25">
      <c r="A198">
        <v>523</v>
      </c>
      <c r="B198" t="s">
        <v>229</v>
      </c>
      <c r="C198">
        <v>8.785361225567992E-4</v>
      </c>
    </row>
    <row r="199" spans="1:3" x14ac:dyDescent="0.25">
      <c r="A199">
        <v>531</v>
      </c>
      <c r="B199" t="s">
        <v>230</v>
      </c>
      <c r="C199">
        <v>1.3656200789967283E-3</v>
      </c>
    </row>
    <row r="200" spans="1:3" x14ac:dyDescent="0.25">
      <c r="A200">
        <v>534</v>
      </c>
      <c r="B200" t="s">
        <v>231</v>
      </c>
      <c r="C200">
        <v>1.0254927957020158E-3</v>
      </c>
    </row>
    <row r="201" spans="1:3" x14ac:dyDescent="0.25">
      <c r="A201">
        <v>1963</v>
      </c>
      <c r="B201" t="s">
        <v>232</v>
      </c>
      <c r="C201">
        <v>3.8088089279921778E-3</v>
      </c>
    </row>
    <row r="202" spans="1:3" x14ac:dyDescent="0.25">
      <c r="A202">
        <v>1884</v>
      </c>
      <c r="B202" t="s">
        <v>233</v>
      </c>
      <c r="C202">
        <v>1.2389553544070713E-3</v>
      </c>
    </row>
    <row r="203" spans="1:3" x14ac:dyDescent="0.25">
      <c r="A203">
        <v>537</v>
      </c>
      <c r="B203" t="s">
        <v>234</v>
      </c>
      <c r="C203">
        <v>3.1172939296271723E-3</v>
      </c>
    </row>
    <row r="204" spans="1:3" x14ac:dyDescent="0.25">
      <c r="A204">
        <v>542</v>
      </c>
      <c r="B204" t="s">
        <v>235</v>
      </c>
      <c r="C204">
        <v>1.5294506347554031E-3</v>
      </c>
    </row>
    <row r="205" spans="1:3" x14ac:dyDescent="0.25">
      <c r="A205">
        <v>1931</v>
      </c>
      <c r="B205" t="s">
        <v>236</v>
      </c>
      <c r="C205">
        <v>2.8328543906249531E-3</v>
      </c>
    </row>
    <row r="206" spans="1:3" x14ac:dyDescent="0.25">
      <c r="A206">
        <v>1621</v>
      </c>
      <c r="B206" t="s">
        <v>237</v>
      </c>
      <c r="C206">
        <v>2.4769090105748936E-3</v>
      </c>
    </row>
    <row r="207" spans="1:3" x14ac:dyDescent="0.25">
      <c r="A207">
        <v>546</v>
      </c>
      <c r="B207" t="s">
        <v>238</v>
      </c>
      <c r="C207">
        <v>7.4897675879970057E-3</v>
      </c>
    </row>
    <row r="208" spans="1:3" x14ac:dyDescent="0.25">
      <c r="A208">
        <v>547</v>
      </c>
      <c r="B208" t="s">
        <v>239</v>
      </c>
      <c r="C208">
        <v>1.2415753013033176E-3</v>
      </c>
    </row>
    <row r="209" spans="1:3" x14ac:dyDescent="0.25">
      <c r="A209">
        <v>1916</v>
      </c>
      <c r="B209" t="s">
        <v>240</v>
      </c>
      <c r="C209">
        <v>3.9679717307874217E-3</v>
      </c>
    </row>
    <row r="210" spans="1:3" x14ac:dyDescent="0.25">
      <c r="A210">
        <v>553</v>
      </c>
      <c r="B210" t="s">
        <v>241</v>
      </c>
      <c r="C210">
        <v>1.061095346071577E-3</v>
      </c>
    </row>
    <row r="211" spans="1:3" x14ac:dyDescent="0.25">
      <c r="A211">
        <v>556</v>
      </c>
      <c r="B211" t="s">
        <v>242</v>
      </c>
      <c r="C211">
        <v>1.8599308200249489E-3</v>
      </c>
    </row>
    <row r="212" spans="1:3" x14ac:dyDescent="0.25">
      <c r="A212">
        <v>1842</v>
      </c>
      <c r="B212" t="s">
        <v>243</v>
      </c>
      <c r="C212">
        <v>7.5125472404837738E-4</v>
      </c>
    </row>
    <row r="213" spans="1:3" x14ac:dyDescent="0.25">
      <c r="A213">
        <v>1978</v>
      </c>
      <c r="B213" t="s">
        <v>244</v>
      </c>
      <c r="C213">
        <v>1.9668555975786112E-3</v>
      </c>
    </row>
    <row r="214" spans="1:3" x14ac:dyDescent="0.25">
      <c r="A214">
        <v>569</v>
      </c>
      <c r="B214" t="s">
        <v>245</v>
      </c>
      <c r="C214">
        <v>1.2639560725000692E-3</v>
      </c>
    </row>
    <row r="215" spans="1:3" x14ac:dyDescent="0.25">
      <c r="A215">
        <v>1930</v>
      </c>
      <c r="B215" t="s">
        <v>246</v>
      </c>
      <c r="C215">
        <v>4.886255656890345E-3</v>
      </c>
    </row>
    <row r="216" spans="1:3" x14ac:dyDescent="0.25">
      <c r="A216">
        <v>575</v>
      </c>
      <c r="B216" t="s">
        <v>247</v>
      </c>
      <c r="C216">
        <v>1.847187975898773E-3</v>
      </c>
    </row>
    <row r="217" spans="1:3" x14ac:dyDescent="0.25">
      <c r="A217">
        <v>579</v>
      </c>
      <c r="B217" t="s">
        <v>248</v>
      </c>
      <c r="C217">
        <v>9.6042202464760779E-4</v>
      </c>
    </row>
    <row r="218" spans="1:3" x14ac:dyDescent="0.25">
      <c r="A218">
        <v>590</v>
      </c>
      <c r="B218" t="s">
        <v>249</v>
      </c>
      <c r="C218">
        <v>1.613582891023385E-3</v>
      </c>
    </row>
    <row r="219" spans="1:3" x14ac:dyDescent="0.25">
      <c r="A219">
        <v>1926</v>
      </c>
      <c r="B219" t="s">
        <v>250</v>
      </c>
      <c r="C219">
        <v>2.1011352959475387E-3</v>
      </c>
    </row>
    <row r="220" spans="1:3" x14ac:dyDescent="0.25">
      <c r="A220">
        <v>597</v>
      </c>
      <c r="B220" t="s">
        <v>251</v>
      </c>
      <c r="C220">
        <v>2.5654943189737799E-3</v>
      </c>
    </row>
    <row r="221" spans="1:3" x14ac:dyDescent="0.25">
      <c r="A221">
        <v>603</v>
      </c>
      <c r="B221" t="s">
        <v>252</v>
      </c>
      <c r="C221">
        <v>3.1074033087360865E-3</v>
      </c>
    </row>
    <row r="222" spans="1:3" x14ac:dyDescent="0.25">
      <c r="A222">
        <v>599</v>
      </c>
      <c r="B222" t="s">
        <v>253</v>
      </c>
      <c r="C222">
        <v>5.2707025552965275E-2</v>
      </c>
    </row>
    <row r="223" spans="1:3" x14ac:dyDescent="0.25">
      <c r="A223">
        <v>606</v>
      </c>
      <c r="B223" t="s">
        <v>254</v>
      </c>
      <c r="C223">
        <v>5.036265372002113E-3</v>
      </c>
    </row>
    <row r="224" spans="1:3" x14ac:dyDescent="0.25">
      <c r="A224">
        <v>518</v>
      </c>
      <c r="B224" t="s">
        <v>255</v>
      </c>
      <c r="C224">
        <v>3.9900318396795552E-2</v>
      </c>
    </row>
    <row r="225" spans="1:3" x14ac:dyDescent="0.25">
      <c r="A225">
        <v>610</v>
      </c>
      <c r="B225" t="s">
        <v>256</v>
      </c>
      <c r="C225">
        <v>1.3482212276530977E-3</v>
      </c>
    </row>
    <row r="226" spans="1:3" x14ac:dyDescent="0.25">
      <c r="A226">
        <v>1525</v>
      </c>
      <c r="B226" t="s">
        <v>257</v>
      </c>
      <c r="C226">
        <v>1.5247880550308536E-3</v>
      </c>
    </row>
    <row r="227" spans="1:3" x14ac:dyDescent="0.25">
      <c r="A227">
        <v>622</v>
      </c>
      <c r="B227" t="s">
        <v>258</v>
      </c>
      <c r="C227">
        <v>4.6682100624893313E-3</v>
      </c>
    </row>
    <row r="228" spans="1:3" x14ac:dyDescent="0.25">
      <c r="A228">
        <v>1992</v>
      </c>
      <c r="B228" t="s">
        <v>259</v>
      </c>
      <c r="C228">
        <v>3.3992141292486207E-3</v>
      </c>
    </row>
    <row r="229" spans="1:3" x14ac:dyDescent="0.25">
      <c r="A229">
        <v>626</v>
      </c>
      <c r="B229" t="s">
        <v>260</v>
      </c>
      <c r="C229">
        <v>1.0282379358048876E-3</v>
      </c>
    </row>
    <row r="230" spans="1:3" x14ac:dyDescent="0.25">
      <c r="A230">
        <v>627</v>
      </c>
      <c r="B230" t="s">
        <v>261</v>
      </c>
      <c r="C230">
        <v>1.5150375687411248E-3</v>
      </c>
    </row>
    <row r="231" spans="1:3" x14ac:dyDescent="0.25">
      <c r="A231">
        <v>629</v>
      </c>
      <c r="B231" t="s">
        <v>262</v>
      </c>
      <c r="C231">
        <v>1.0876939553575906E-3</v>
      </c>
    </row>
    <row r="232" spans="1:3" x14ac:dyDescent="0.25">
      <c r="A232">
        <v>1783</v>
      </c>
      <c r="B232" t="s">
        <v>263</v>
      </c>
      <c r="C232">
        <v>5.2981088305462873E-3</v>
      </c>
    </row>
    <row r="233" spans="1:3" x14ac:dyDescent="0.25">
      <c r="A233">
        <v>637</v>
      </c>
      <c r="B233" t="s">
        <v>264</v>
      </c>
      <c r="C233">
        <v>6.8966701419717544E-3</v>
      </c>
    </row>
    <row r="234" spans="1:3" x14ac:dyDescent="0.25">
      <c r="A234">
        <v>638</v>
      </c>
      <c r="B234" t="s">
        <v>265</v>
      </c>
      <c r="C234">
        <v>3.8667488587204899E-4</v>
      </c>
    </row>
    <row r="235" spans="1:3" x14ac:dyDescent="0.25">
      <c r="A235">
        <v>1892</v>
      </c>
      <c r="B235" t="s">
        <v>266</v>
      </c>
      <c r="C235">
        <v>1.9236549314346164E-3</v>
      </c>
    </row>
    <row r="236" spans="1:3" x14ac:dyDescent="0.25">
      <c r="A236">
        <v>642</v>
      </c>
      <c r="B236" t="s">
        <v>267</v>
      </c>
      <c r="C236">
        <v>2.586933712307859E-3</v>
      </c>
    </row>
    <row r="237" spans="1:3" x14ac:dyDescent="0.25">
      <c r="A237">
        <v>654</v>
      </c>
      <c r="B237" t="s">
        <v>268</v>
      </c>
      <c r="C237">
        <v>1.1142044831662706E-3</v>
      </c>
    </row>
    <row r="238" spans="1:3" x14ac:dyDescent="0.25">
      <c r="A238">
        <v>664</v>
      </c>
      <c r="B238" t="s">
        <v>269</v>
      </c>
      <c r="C238">
        <v>2.4541809023318692E-3</v>
      </c>
    </row>
    <row r="239" spans="1:3" x14ac:dyDescent="0.25">
      <c r="A239">
        <v>677</v>
      </c>
      <c r="B239" t="s">
        <v>270</v>
      </c>
      <c r="C239">
        <v>1.6006529295997099E-3</v>
      </c>
    </row>
    <row r="240" spans="1:3" x14ac:dyDescent="0.25">
      <c r="A240">
        <v>678</v>
      </c>
      <c r="B240" t="s">
        <v>271</v>
      </c>
      <c r="C240">
        <v>6.4484031355853345E-4</v>
      </c>
    </row>
    <row r="241" spans="1:3" x14ac:dyDescent="0.25">
      <c r="A241">
        <v>687</v>
      </c>
      <c r="B241" t="s">
        <v>272</v>
      </c>
      <c r="C241">
        <v>3.0971190765679214E-3</v>
      </c>
    </row>
    <row r="242" spans="1:3" x14ac:dyDescent="0.25">
      <c r="A242">
        <v>1695</v>
      </c>
      <c r="B242" t="s">
        <v>273</v>
      </c>
      <c r="C242">
        <v>4.3053154508903158E-4</v>
      </c>
    </row>
    <row r="243" spans="1:3" x14ac:dyDescent="0.25">
      <c r="A243">
        <v>703</v>
      </c>
      <c r="B243" t="s">
        <v>274</v>
      </c>
      <c r="C243">
        <v>1.2243739239337689E-3</v>
      </c>
    </row>
    <row r="244" spans="1:3" x14ac:dyDescent="0.25">
      <c r="A244">
        <v>1676</v>
      </c>
      <c r="B244" t="s">
        <v>275</v>
      </c>
      <c r="C244">
        <v>1.9001082970602733E-3</v>
      </c>
    </row>
    <row r="245" spans="1:3" x14ac:dyDescent="0.25">
      <c r="A245">
        <v>1714</v>
      </c>
      <c r="B245" t="s">
        <v>276</v>
      </c>
      <c r="C245">
        <v>1.3745266701068882E-3</v>
      </c>
    </row>
    <row r="246" spans="1:3" x14ac:dyDescent="0.25">
      <c r="A246">
        <v>715</v>
      </c>
      <c r="B246" t="s">
        <v>277</v>
      </c>
      <c r="C246">
        <v>3.2170606863998565E-3</v>
      </c>
    </row>
    <row r="247" spans="1:3" x14ac:dyDescent="0.25">
      <c r="A247">
        <v>716</v>
      </c>
      <c r="B247" t="s">
        <v>278</v>
      </c>
      <c r="C247">
        <v>1.3948583070873294E-3</v>
      </c>
    </row>
    <row r="248" spans="1:3" x14ac:dyDescent="0.25">
      <c r="A248">
        <v>717</v>
      </c>
      <c r="B248" t="s">
        <v>279</v>
      </c>
      <c r="C248">
        <v>9.5926453818057967E-4</v>
      </c>
    </row>
    <row r="249" spans="1:3" x14ac:dyDescent="0.25">
      <c r="A249">
        <v>718</v>
      </c>
      <c r="B249" t="s">
        <v>280</v>
      </c>
      <c r="C249">
        <v>2.9577794663468112E-3</v>
      </c>
    </row>
    <row r="250" spans="1:3" x14ac:dyDescent="0.25">
      <c r="A250">
        <v>1723</v>
      </c>
      <c r="B250" t="s">
        <v>281</v>
      </c>
      <c r="C250">
        <v>4.7885370389638498E-4</v>
      </c>
    </row>
    <row r="251" spans="1:3" x14ac:dyDescent="0.25">
      <c r="A251">
        <v>1959</v>
      </c>
      <c r="B251" t="s">
        <v>282</v>
      </c>
      <c r="C251">
        <v>2.5151568869935452E-3</v>
      </c>
    </row>
    <row r="252" spans="1:3" x14ac:dyDescent="0.25">
      <c r="A252">
        <v>743</v>
      </c>
      <c r="B252" t="s">
        <v>283</v>
      </c>
      <c r="C252">
        <v>8.439711405242795E-4</v>
      </c>
    </row>
    <row r="253" spans="1:3" x14ac:dyDescent="0.25">
      <c r="A253">
        <v>744</v>
      </c>
      <c r="B253" t="s">
        <v>284</v>
      </c>
      <c r="C253">
        <v>3.9048666922210411E-4</v>
      </c>
    </row>
    <row r="254" spans="1:3" x14ac:dyDescent="0.25">
      <c r="A254">
        <v>1724</v>
      </c>
      <c r="B254" t="s">
        <v>285</v>
      </c>
      <c r="C254">
        <v>8.4173929331631306E-4</v>
      </c>
    </row>
    <row r="255" spans="1:3" x14ac:dyDescent="0.25">
      <c r="A255">
        <v>748</v>
      </c>
      <c r="B255" t="s">
        <v>286</v>
      </c>
      <c r="C255">
        <v>4.1655023349075971E-3</v>
      </c>
    </row>
    <row r="256" spans="1:3" x14ac:dyDescent="0.25">
      <c r="A256">
        <v>1721</v>
      </c>
      <c r="B256" t="s">
        <v>287</v>
      </c>
      <c r="C256">
        <v>1.3731511536687988E-3</v>
      </c>
    </row>
    <row r="257" spans="1:3" x14ac:dyDescent="0.25">
      <c r="A257">
        <v>753</v>
      </c>
      <c r="B257" t="s">
        <v>288</v>
      </c>
      <c r="C257">
        <v>1.3404131634467277E-3</v>
      </c>
    </row>
    <row r="258" spans="1:3" x14ac:dyDescent="0.25">
      <c r="A258">
        <v>1728</v>
      </c>
      <c r="B258" t="s">
        <v>289</v>
      </c>
      <c r="C258">
        <v>9.4553022942136557E-4</v>
      </c>
    </row>
    <row r="259" spans="1:3" x14ac:dyDescent="0.25">
      <c r="A259">
        <v>755</v>
      </c>
      <c r="B259" t="s">
        <v>290</v>
      </c>
      <c r="C259">
        <v>4.9911832400431535E-4</v>
      </c>
    </row>
    <row r="260" spans="1:3" x14ac:dyDescent="0.25">
      <c r="A260">
        <v>757</v>
      </c>
      <c r="B260" t="s">
        <v>291</v>
      </c>
      <c r="C260">
        <v>1.6985064135486834E-3</v>
      </c>
    </row>
    <row r="261" spans="1:3" x14ac:dyDescent="0.25">
      <c r="A261">
        <v>758</v>
      </c>
      <c r="B261" t="s">
        <v>292</v>
      </c>
      <c r="C261">
        <v>1.0642187716885236E-2</v>
      </c>
    </row>
    <row r="262" spans="1:3" x14ac:dyDescent="0.25">
      <c r="A262">
        <v>1706</v>
      </c>
      <c r="B262" t="s">
        <v>293</v>
      </c>
      <c r="C262">
        <v>1.0171354184392019E-3</v>
      </c>
    </row>
    <row r="263" spans="1:3" x14ac:dyDescent="0.25">
      <c r="A263">
        <v>762</v>
      </c>
      <c r="B263" t="s">
        <v>294</v>
      </c>
      <c r="C263">
        <v>1.6982444287780266E-3</v>
      </c>
    </row>
    <row r="264" spans="1:3" x14ac:dyDescent="0.25">
      <c r="A264">
        <v>766</v>
      </c>
      <c r="B264" t="s">
        <v>295</v>
      </c>
      <c r="C264">
        <v>1.2417864661636816E-3</v>
      </c>
    </row>
    <row r="265" spans="1:3" x14ac:dyDescent="0.25">
      <c r="A265">
        <v>1719</v>
      </c>
      <c r="B265" t="s">
        <v>296</v>
      </c>
      <c r="C265">
        <v>1.1955676437999541E-3</v>
      </c>
    </row>
    <row r="266" spans="1:3" x14ac:dyDescent="0.25">
      <c r="A266">
        <v>770</v>
      </c>
      <c r="B266" t="s">
        <v>297</v>
      </c>
      <c r="C266">
        <v>8.5385564122792952E-4</v>
      </c>
    </row>
    <row r="267" spans="1:3" x14ac:dyDescent="0.25">
      <c r="A267">
        <v>772</v>
      </c>
      <c r="B267" t="s">
        <v>298</v>
      </c>
      <c r="C267">
        <v>1.591293661579056E-2</v>
      </c>
    </row>
    <row r="268" spans="1:3" x14ac:dyDescent="0.25">
      <c r="A268">
        <v>777</v>
      </c>
      <c r="B268" t="s">
        <v>299</v>
      </c>
      <c r="C268">
        <v>2.2734579728143443E-3</v>
      </c>
    </row>
    <row r="269" spans="1:3" x14ac:dyDescent="0.25">
      <c r="A269">
        <v>779</v>
      </c>
      <c r="B269" t="s">
        <v>300</v>
      </c>
      <c r="C269">
        <v>1.0818231758848197E-3</v>
      </c>
    </row>
    <row r="270" spans="1:3" x14ac:dyDescent="0.25">
      <c r="A270">
        <v>1771</v>
      </c>
      <c r="B270" t="s">
        <v>301</v>
      </c>
      <c r="C270">
        <v>1.9162874018697389E-3</v>
      </c>
    </row>
    <row r="271" spans="1:3" x14ac:dyDescent="0.25">
      <c r="A271">
        <v>1652</v>
      </c>
      <c r="B271" t="s">
        <v>302</v>
      </c>
      <c r="C271">
        <v>1.5391686447157717E-3</v>
      </c>
    </row>
    <row r="272" spans="1:3" x14ac:dyDescent="0.25">
      <c r="A272">
        <v>784</v>
      </c>
      <c r="B272" t="s">
        <v>303</v>
      </c>
      <c r="C272">
        <v>1.2626884247300331E-3</v>
      </c>
    </row>
    <row r="273" spans="1:3" x14ac:dyDescent="0.25">
      <c r="A273">
        <v>785</v>
      </c>
      <c r="B273" t="s">
        <v>304</v>
      </c>
      <c r="C273">
        <v>1.0664568261476647E-3</v>
      </c>
    </row>
    <row r="274" spans="1:3" x14ac:dyDescent="0.25">
      <c r="A274">
        <v>1655</v>
      </c>
      <c r="B274" t="s">
        <v>305</v>
      </c>
      <c r="C274">
        <v>1.4673226742508202E-3</v>
      </c>
    </row>
    <row r="275" spans="1:3" x14ac:dyDescent="0.25">
      <c r="A275">
        <v>1658</v>
      </c>
      <c r="B275" t="s">
        <v>306</v>
      </c>
      <c r="C275">
        <v>6.9606544920404326E-4</v>
      </c>
    </row>
    <row r="276" spans="1:3" x14ac:dyDescent="0.25">
      <c r="A276">
        <v>794</v>
      </c>
      <c r="B276" t="s">
        <v>307</v>
      </c>
      <c r="C276">
        <v>5.7895065707110459E-3</v>
      </c>
    </row>
    <row r="277" spans="1:3" x14ac:dyDescent="0.25">
      <c r="A277">
        <v>797</v>
      </c>
      <c r="B277" t="s">
        <v>308</v>
      </c>
      <c r="C277">
        <v>2.1908570773052655E-3</v>
      </c>
    </row>
    <row r="278" spans="1:3" x14ac:dyDescent="0.25">
      <c r="A278">
        <v>798</v>
      </c>
      <c r="B278" t="s">
        <v>309</v>
      </c>
      <c r="C278">
        <v>6.7981425292267417E-4</v>
      </c>
    </row>
    <row r="279" spans="1:3" x14ac:dyDescent="0.25">
      <c r="A279">
        <v>1659</v>
      </c>
      <c r="B279" t="s">
        <v>310</v>
      </c>
      <c r="C279">
        <v>1.0246414879719033E-3</v>
      </c>
    </row>
    <row r="280" spans="1:3" x14ac:dyDescent="0.25">
      <c r="A280">
        <v>1982</v>
      </c>
      <c r="B280" t="s">
        <v>311</v>
      </c>
      <c r="C280">
        <v>4.3385933631965891E-3</v>
      </c>
    </row>
    <row r="281" spans="1:3" x14ac:dyDescent="0.25">
      <c r="A281">
        <v>809</v>
      </c>
      <c r="B281" t="s">
        <v>312</v>
      </c>
      <c r="C281">
        <v>1.0869234607164011E-3</v>
      </c>
    </row>
    <row r="282" spans="1:3" x14ac:dyDescent="0.25">
      <c r="A282">
        <v>1991</v>
      </c>
      <c r="B282" t="s">
        <v>313</v>
      </c>
      <c r="C282">
        <v>2.9712787957425079E-3</v>
      </c>
    </row>
    <row r="283" spans="1:3" x14ac:dyDescent="0.25">
      <c r="A283">
        <v>1948</v>
      </c>
      <c r="B283" t="s">
        <v>314</v>
      </c>
      <c r="C283">
        <v>3.8272164121415215E-3</v>
      </c>
    </row>
    <row r="284" spans="1:3" x14ac:dyDescent="0.25">
      <c r="A284">
        <v>1709</v>
      </c>
      <c r="B284" t="s">
        <v>315</v>
      </c>
      <c r="C284">
        <v>1.8806253265356888E-3</v>
      </c>
    </row>
    <row r="285" spans="1:3" x14ac:dyDescent="0.25">
      <c r="A285">
        <v>820</v>
      </c>
      <c r="B285" t="s">
        <v>316</v>
      </c>
      <c r="C285">
        <v>9.7205397995620794E-4</v>
      </c>
    </row>
    <row r="286" spans="1:3" x14ac:dyDescent="0.25">
      <c r="A286">
        <v>823</v>
      </c>
      <c r="B286" t="s">
        <v>317</v>
      </c>
      <c r="C286">
        <v>7.9769911847038717E-4</v>
      </c>
    </row>
    <row r="287" spans="1:3" x14ac:dyDescent="0.25">
      <c r="A287">
        <v>824</v>
      </c>
      <c r="B287" t="s">
        <v>318</v>
      </c>
      <c r="C287">
        <v>1.4173314275813141E-3</v>
      </c>
    </row>
    <row r="288" spans="1:3" x14ac:dyDescent="0.25">
      <c r="A288">
        <v>826</v>
      </c>
      <c r="B288" t="s">
        <v>319</v>
      </c>
      <c r="C288">
        <v>3.0066807709882857E-3</v>
      </c>
    </row>
    <row r="289" spans="1:3" x14ac:dyDescent="0.25">
      <c r="A289">
        <v>828</v>
      </c>
      <c r="B289" t="s">
        <v>320</v>
      </c>
      <c r="C289">
        <v>5.2766436311987193E-3</v>
      </c>
    </row>
    <row r="290" spans="1:3" x14ac:dyDescent="0.25">
      <c r="A290">
        <v>1667</v>
      </c>
      <c r="B290" t="s">
        <v>321</v>
      </c>
      <c r="C290">
        <v>6.164350394933793E-4</v>
      </c>
    </row>
    <row r="291" spans="1:3" x14ac:dyDescent="0.25">
      <c r="A291">
        <v>1674</v>
      </c>
      <c r="B291" t="s">
        <v>322</v>
      </c>
      <c r="C291">
        <v>4.5246740993761421E-3</v>
      </c>
    </row>
    <row r="292" spans="1:3" x14ac:dyDescent="0.25">
      <c r="A292">
        <v>840</v>
      </c>
      <c r="B292" t="s">
        <v>323</v>
      </c>
      <c r="C292">
        <v>1.1580450368869647E-3</v>
      </c>
    </row>
    <row r="293" spans="1:3" x14ac:dyDescent="0.25">
      <c r="A293">
        <v>796</v>
      </c>
      <c r="B293" t="s">
        <v>324</v>
      </c>
      <c r="C293">
        <v>9.0643152549897601E-3</v>
      </c>
    </row>
    <row r="294" spans="1:3" x14ac:dyDescent="0.25">
      <c r="A294">
        <v>845</v>
      </c>
      <c r="B294" t="s">
        <v>325</v>
      </c>
      <c r="C294">
        <v>1.1921186845421463E-3</v>
      </c>
    </row>
    <row r="295" spans="1:3" x14ac:dyDescent="0.25">
      <c r="A295">
        <v>847</v>
      </c>
      <c r="B295" t="s">
        <v>326</v>
      </c>
      <c r="C295">
        <v>9.410281197972908E-4</v>
      </c>
    </row>
    <row r="296" spans="1:3" x14ac:dyDescent="0.25">
      <c r="A296">
        <v>848</v>
      </c>
      <c r="B296" t="s">
        <v>327</v>
      </c>
      <c r="C296">
        <v>7.1435920119395009E-4</v>
      </c>
    </row>
    <row r="297" spans="1:3" x14ac:dyDescent="0.25">
      <c r="A297">
        <v>851</v>
      </c>
      <c r="B297" t="s">
        <v>328</v>
      </c>
      <c r="C297">
        <v>1.2444112851353474E-3</v>
      </c>
    </row>
    <row r="298" spans="1:3" x14ac:dyDescent="0.25">
      <c r="A298">
        <v>855</v>
      </c>
      <c r="B298" t="s">
        <v>329</v>
      </c>
      <c r="C298">
        <v>1.4330079461215433E-2</v>
      </c>
    </row>
    <row r="299" spans="1:3" x14ac:dyDescent="0.25">
      <c r="A299">
        <v>858</v>
      </c>
      <c r="B299" t="s">
        <v>330</v>
      </c>
      <c r="C299">
        <v>1.6947438757686634E-3</v>
      </c>
    </row>
    <row r="300" spans="1:3" x14ac:dyDescent="0.25">
      <c r="A300">
        <v>861</v>
      </c>
      <c r="B300" t="s">
        <v>331</v>
      </c>
      <c r="C300">
        <v>2.073782178429141E-3</v>
      </c>
    </row>
    <row r="301" spans="1:3" x14ac:dyDescent="0.25">
      <c r="A301">
        <v>865</v>
      </c>
      <c r="B301" t="s">
        <v>332</v>
      </c>
      <c r="C301">
        <v>1.3941125986683901E-3</v>
      </c>
    </row>
    <row r="302" spans="1:3" x14ac:dyDescent="0.25">
      <c r="A302">
        <v>866</v>
      </c>
      <c r="B302" t="s">
        <v>333</v>
      </c>
      <c r="C302">
        <v>6.8337545366467826E-4</v>
      </c>
    </row>
    <row r="303" spans="1:3" x14ac:dyDescent="0.25">
      <c r="A303">
        <v>867</v>
      </c>
      <c r="B303" t="s">
        <v>334</v>
      </c>
      <c r="C303">
        <v>2.6528135066616293E-3</v>
      </c>
    </row>
    <row r="304" spans="1:3" x14ac:dyDescent="0.25">
      <c r="A304">
        <v>873</v>
      </c>
      <c r="B304" t="s">
        <v>335</v>
      </c>
      <c r="C304">
        <v>1.0598928157198909E-3</v>
      </c>
    </row>
    <row r="305" spans="1:3" x14ac:dyDescent="0.25">
      <c r="A305">
        <v>879</v>
      </c>
      <c r="B305" t="s">
        <v>336</v>
      </c>
      <c r="C305">
        <v>9.8406904105430033E-4</v>
      </c>
    </row>
    <row r="306" spans="1:3" x14ac:dyDescent="0.25">
      <c r="A306">
        <v>888</v>
      </c>
      <c r="B306" t="s">
        <v>337</v>
      </c>
      <c r="C306">
        <v>7.6421946960707578E-4</v>
      </c>
    </row>
    <row r="307" spans="1:3" x14ac:dyDescent="0.25">
      <c r="A307">
        <v>1954</v>
      </c>
      <c r="B307" t="s">
        <v>338</v>
      </c>
      <c r="C307">
        <v>1.6785296477810541E-3</v>
      </c>
    </row>
    <row r="308" spans="1:3" x14ac:dyDescent="0.25">
      <c r="A308">
        <v>889</v>
      </c>
      <c r="B308" t="s">
        <v>339</v>
      </c>
      <c r="C308">
        <v>7.3868046480829756E-4</v>
      </c>
    </row>
    <row r="309" spans="1:3" x14ac:dyDescent="0.25">
      <c r="A309">
        <v>893</v>
      </c>
      <c r="B309" t="s">
        <v>340</v>
      </c>
      <c r="C309">
        <v>6.8656769342033863E-4</v>
      </c>
    </row>
    <row r="310" spans="1:3" x14ac:dyDescent="0.25">
      <c r="A310">
        <v>899</v>
      </c>
      <c r="B310" t="s">
        <v>341</v>
      </c>
      <c r="C310">
        <v>1.7524397418771534E-3</v>
      </c>
    </row>
    <row r="311" spans="1:3" x14ac:dyDescent="0.25">
      <c r="A311">
        <v>1711</v>
      </c>
      <c r="B311" t="s">
        <v>342</v>
      </c>
      <c r="C311">
        <v>1.6962217401519934E-3</v>
      </c>
    </row>
    <row r="312" spans="1:3" x14ac:dyDescent="0.25">
      <c r="A312">
        <v>1903</v>
      </c>
      <c r="B312" t="s">
        <v>343</v>
      </c>
      <c r="C312">
        <v>1.1352167543500508E-3</v>
      </c>
    </row>
    <row r="313" spans="1:3" x14ac:dyDescent="0.25">
      <c r="A313">
        <v>907</v>
      </c>
      <c r="B313" t="s">
        <v>344</v>
      </c>
      <c r="C313">
        <v>8.5758988412201862E-4</v>
      </c>
    </row>
    <row r="314" spans="1:3" x14ac:dyDescent="0.25">
      <c r="A314">
        <v>1729</v>
      </c>
      <c r="B314" t="s">
        <v>345</v>
      </c>
      <c r="C314">
        <v>7.7320897209085437E-4</v>
      </c>
    </row>
    <row r="315" spans="1:3" x14ac:dyDescent="0.25">
      <c r="A315">
        <v>917</v>
      </c>
      <c r="B315" t="s">
        <v>346</v>
      </c>
      <c r="C315">
        <v>6.6369226100858308E-3</v>
      </c>
    </row>
    <row r="316" spans="1:3" x14ac:dyDescent="0.25">
      <c r="A316">
        <v>1507</v>
      </c>
      <c r="B316" t="s">
        <v>347</v>
      </c>
      <c r="C316">
        <v>2.0120824413886744E-3</v>
      </c>
    </row>
    <row r="317" spans="1:3" x14ac:dyDescent="0.25">
      <c r="A317">
        <v>928</v>
      </c>
      <c r="B317" t="s">
        <v>348</v>
      </c>
      <c r="C317">
        <v>3.1409398139100723E-3</v>
      </c>
    </row>
    <row r="318" spans="1:3" x14ac:dyDescent="0.25">
      <c r="A318">
        <v>882</v>
      </c>
      <c r="B318" t="s">
        <v>349</v>
      </c>
      <c r="C318">
        <v>2.2445597197147797E-3</v>
      </c>
    </row>
    <row r="319" spans="1:3" x14ac:dyDescent="0.25">
      <c r="A319">
        <v>1640</v>
      </c>
      <c r="B319" t="s">
        <v>350</v>
      </c>
      <c r="C319">
        <v>1.6947090269019561E-3</v>
      </c>
    </row>
    <row r="320" spans="1:3" x14ac:dyDescent="0.25">
      <c r="A320">
        <v>1641</v>
      </c>
      <c r="B320" t="s">
        <v>351</v>
      </c>
      <c r="C320">
        <v>1.1359716214319408E-3</v>
      </c>
    </row>
    <row r="321" spans="1:3" x14ac:dyDescent="0.25">
      <c r="A321">
        <v>935</v>
      </c>
      <c r="B321" t="s">
        <v>352</v>
      </c>
      <c r="C321">
        <v>7.7988098178776062E-3</v>
      </c>
    </row>
    <row r="322" spans="1:3" x14ac:dyDescent="0.25">
      <c r="A322">
        <v>938</v>
      </c>
      <c r="B322" t="s">
        <v>353</v>
      </c>
      <c r="C322">
        <v>8.9005343673478226E-4</v>
      </c>
    </row>
    <row r="323" spans="1:3" x14ac:dyDescent="0.25">
      <c r="A323">
        <v>944</v>
      </c>
      <c r="B323" t="s">
        <v>354</v>
      </c>
      <c r="C323">
        <v>3.4824399144338343E-4</v>
      </c>
    </row>
    <row r="324" spans="1:3" x14ac:dyDescent="0.25">
      <c r="A324">
        <v>946</v>
      </c>
      <c r="B324" t="s">
        <v>355</v>
      </c>
      <c r="C324">
        <v>8.7830405133811562E-4</v>
      </c>
    </row>
    <row r="325" spans="1:3" x14ac:dyDescent="0.25">
      <c r="A325">
        <v>1894</v>
      </c>
      <c r="B325" t="s">
        <v>356</v>
      </c>
      <c r="C325">
        <v>2.1212262766858547E-3</v>
      </c>
    </row>
    <row r="326" spans="1:3" x14ac:dyDescent="0.25">
      <c r="A326">
        <v>1669</v>
      </c>
      <c r="B326" t="s">
        <v>357</v>
      </c>
      <c r="C326">
        <v>1.0344100598086304E-3</v>
      </c>
    </row>
    <row r="327" spans="1:3" x14ac:dyDescent="0.25">
      <c r="A327">
        <v>957</v>
      </c>
      <c r="B327" t="s">
        <v>358</v>
      </c>
      <c r="C327">
        <v>3.8451964432023706E-3</v>
      </c>
    </row>
    <row r="328" spans="1:3" x14ac:dyDescent="0.25">
      <c r="A328">
        <v>965</v>
      </c>
      <c r="B328" t="s">
        <v>359</v>
      </c>
      <c r="C328">
        <v>5.5745088685286135E-4</v>
      </c>
    </row>
    <row r="329" spans="1:3" x14ac:dyDescent="0.25">
      <c r="A329">
        <v>1883</v>
      </c>
      <c r="B329" t="s">
        <v>360</v>
      </c>
      <c r="C329">
        <v>5.7343255519638524E-3</v>
      </c>
    </row>
    <row r="330" spans="1:3" x14ac:dyDescent="0.25">
      <c r="A330">
        <v>971</v>
      </c>
      <c r="B330" t="s">
        <v>361</v>
      </c>
      <c r="C330">
        <v>1.2956972022736192E-3</v>
      </c>
    </row>
    <row r="331" spans="1:3" x14ac:dyDescent="0.25">
      <c r="A331">
        <v>981</v>
      </c>
      <c r="B331" t="s">
        <v>362</v>
      </c>
      <c r="C331">
        <v>6.2892826046462009E-4</v>
      </c>
    </row>
    <row r="332" spans="1:3" x14ac:dyDescent="0.25">
      <c r="A332">
        <v>994</v>
      </c>
      <c r="B332" t="s">
        <v>363</v>
      </c>
      <c r="C332">
        <v>8.8730903371857955E-4</v>
      </c>
    </row>
    <row r="333" spans="1:3" x14ac:dyDescent="0.25">
      <c r="A333">
        <v>983</v>
      </c>
      <c r="B333" t="s">
        <v>364</v>
      </c>
      <c r="C333">
        <v>6.5771343537650902E-3</v>
      </c>
    </row>
    <row r="334" spans="1:3" x14ac:dyDescent="0.25">
      <c r="A334">
        <v>984</v>
      </c>
      <c r="B334" t="s">
        <v>365</v>
      </c>
      <c r="C334">
        <v>2.4378547553142202E-3</v>
      </c>
    </row>
    <row r="335" spans="1:3" x14ac:dyDescent="0.25">
      <c r="A335">
        <v>986</v>
      </c>
      <c r="B335" t="s">
        <v>366</v>
      </c>
      <c r="C335">
        <v>5.9226938039515621E-4</v>
      </c>
    </row>
    <row r="336" spans="1:3" x14ac:dyDescent="0.25">
      <c r="A336">
        <v>988</v>
      </c>
      <c r="B336" t="s">
        <v>367</v>
      </c>
      <c r="C336">
        <v>2.8750072669920571E-3</v>
      </c>
    </row>
    <row r="337" spans="1:3" x14ac:dyDescent="0.25">
      <c r="A337">
        <v>34</v>
      </c>
      <c r="B337" t="s">
        <v>368</v>
      </c>
      <c r="C337">
        <v>1.2144290460823234E-2</v>
      </c>
    </row>
    <row r="338" spans="1:3" x14ac:dyDescent="0.25">
      <c r="A338">
        <v>303</v>
      </c>
      <c r="B338" t="s">
        <v>369</v>
      </c>
      <c r="C338">
        <v>2.1391449381715413E-3</v>
      </c>
    </row>
    <row r="339" spans="1:3" x14ac:dyDescent="0.25">
      <c r="A339">
        <v>995</v>
      </c>
      <c r="B339" t="s">
        <v>370</v>
      </c>
      <c r="C339">
        <v>4.8200252713251077E-3</v>
      </c>
    </row>
    <row r="340" spans="1:3" x14ac:dyDescent="0.25">
      <c r="A340">
        <v>171</v>
      </c>
      <c r="B340" t="s">
        <v>371</v>
      </c>
      <c r="C340">
        <v>2.6813298611949705E-3</v>
      </c>
    </row>
    <row r="341" spans="1:3" x14ac:dyDescent="0.25">
      <c r="A341">
        <v>184</v>
      </c>
      <c r="B341" t="s">
        <v>372</v>
      </c>
      <c r="C341">
        <v>1.033375003955394E-3</v>
      </c>
    </row>
    <row r="342" spans="1:3" x14ac:dyDescent="0.25">
      <c r="A342">
        <v>50</v>
      </c>
      <c r="B342" t="s">
        <v>373</v>
      </c>
      <c r="C342">
        <v>1.0672875575469785E-3</v>
      </c>
    </row>
    <row r="343" spans="1:3" x14ac:dyDescent="0.25">
      <c r="A343">
        <v>999</v>
      </c>
      <c r="B343" t="s">
        <v>374</v>
      </c>
      <c r="C343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3537-771C-437D-AF32-23C0F90D50FA}">
  <dimension ref="A1:F347"/>
  <sheetViews>
    <sheetView topLeftCell="A330" workbookViewId="0">
      <selection activeCell="E346" sqref="E346"/>
    </sheetView>
  </sheetViews>
  <sheetFormatPr defaultRowHeight="15" x14ac:dyDescent="0.25"/>
  <cols>
    <col min="1" max="1" width="28.7109375" bestFit="1" customWidth="1"/>
    <col min="2" max="2" width="7.5703125" bestFit="1" customWidth="1"/>
    <col min="3" max="3" width="11" bestFit="1" customWidth="1"/>
    <col min="4" max="4" width="9" bestFit="1" customWidth="1"/>
    <col min="5" max="5" width="10" bestFit="1" customWidth="1"/>
    <col min="6" max="6" width="12" bestFit="1" customWidth="1"/>
  </cols>
  <sheetData>
    <row r="1" spans="1:6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</row>
    <row r="2" spans="1:6" x14ac:dyDescent="0.25">
      <c r="A2">
        <v>2</v>
      </c>
      <c r="B2">
        <v>1</v>
      </c>
      <c r="C2">
        <v>5</v>
      </c>
      <c r="D2">
        <v>6</v>
      </c>
      <c r="E2">
        <v>7</v>
      </c>
    </row>
    <row r="3" spans="1:6" x14ac:dyDescent="0.25">
      <c r="A3" t="s">
        <v>375</v>
      </c>
      <c r="B3" t="s">
        <v>376</v>
      </c>
      <c r="C3" t="s">
        <v>377</v>
      </c>
      <c r="D3" t="s">
        <v>378</v>
      </c>
      <c r="E3" t="s">
        <v>379</v>
      </c>
      <c r="F3" t="s">
        <v>380</v>
      </c>
    </row>
    <row r="5" spans="1:6" x14ac:dyDescent="0.25">
      <c r="A5" t="s">
        <v>60</v>
      </c>
      <c r="B5">
        <v>1680</v>
      </c>
      <c r="C5" t="s">
        <v>381</v>
      </c>
      <c r="D5">
        <v>25724</v>
      </c>
      <c r="E5">
        <v>0.42896000000000001</v>
      </c>
      <c r="F5">
        <v>7.6134914865506919E-4</v>
      </c>
    </row>
    <row r="6" spans="1:6" x14ac:dyDescent="0.25">
      <c r="A6" t="s">
        <v>174</v>
      </c>
      <c r="B6">
        <v>358</v>
      </c>
      <c r="C6" t="s">
        <v>381</v>
      </c>
      <c r="D6">
        <v>33063</v>
      </c>
      <c r="E6">
        <v>0.72252000000000005</v>
      </c>
      <c r="F6">
        <v>8.4278905612628866E-4</v>
      </c>
    </row>
    <row r="7" spans="1:6" x14ac:dyDescent="0.25">
      <c r="A7" t="s">
        <v>97</v>
      </c>
      <c r="B7">
        <v>197</v>
      </c>
      <c r="C7" t="s">
        <v>381</v>
      </c>
      <c r="D7">
        <v>27244</v>
      </c>
      <c r="E7">
        <v>0.48975999999999997</v>
      </c>
      <c r="F7">
        <v>7.0534360771220216E-4</v>
      </c>
    </row>
    <row r="8" spans="1:6" x14ac:dyDescent="0.25">
      <c r="A8" t="s">
        <v>42</v>
      </c>
      <c r="B8">
        <v>59</v>
      </c>
      <c r="C8" t="s">
        <v>381</v>
      </c>
      <c r="D8">
        <v>28149</v>
      </c>
      <c r="E8">
        <v>0.52595999999999998</v>
      </c>
      <c r="F8">
        <v>1.4758513486743728E-3</v>
      </c>
    </row>
    <row r="9" spans="1:6" x14ac:dyDescent="0.25">
      <c r="A9" t="s">
        <v>218</v>
      </c>
      <c r="B9">
        <v>482</v>
      </c>
      <c r="C9" t="s">
        <v>381</v>
      </c>
      <c r="D9">
        <v>20356</v>
      </c>
      <c r="E9">
        <v>0.21423999999999999</v>
      </c>
      <c r="F9">
        <v>8.9328016548328797E-4</v>
      </c>
    </row>
    <row r="10" spans="1:6" x14ac:dyDescent="0.25">
      <c r="A10" t="s">
        <v>219</v>
      </c>
      <c r="B10">
        <v>613</v>
      </c>
      <c r="C10" t="s">
        <v>381</v>
      </c>
      <c r="D10">
        <v>26357</v>
      </c>
      <c r="E10">
        <v>0.45428000000000002</v>
      </c>
      <c r="F10">
        <v>8.4000379254282008E-4</v>
      </c>
    </row>
    <row r="11" spans="1:6" x14ac:dyDescent="0.25">
      <c r="A11" t="s">
        <v>175</v>
      </c>
      <c r="B11">
        <v>361</v>
      </c>
      <c r="C11" t="s">
        <v>382</v>
      </c>
      <c r="D11">
        <v>111834</v>
      </c>
      <c r="E11">
        <v>1</v>
      </c>
      <c r="F11">
        <v>6.1619189342947567E-3</v>
      </c>
    </row>
    <row r="12" spans="1:6" x14ac:dyDescent="0.25">
      <c r="A12" t="s">
        <v>72</v>
      </c>
      <c r="B12">
        <v>141</v>
      </c>
      <c r="C12" t="s">
        <v>382</v>
      </c>
      <c r="D12">
        <v>73949</v>
      </c>
      <c r="E12">
        <v>1</v>
      </c>
      <c r="F12">
        <v>5.8150154184488361E-3</v>
      </c>
    </row>
    <row r="13" spans="1:6" x14ac:dyDescent="0.25">
      <c r="A13" t="s">
        <v>368</v>
      </c>
      <c r="B13">
        <v>34</v>
      </c>
      <c r="C13" t="s">
        <v>382</v>
      </c>
      <c r="D13">
        <v>222825</v>
      </c>
      <c r="E13">
        <v>1</v>
      </c>
      <c r="F13">
        <v>1.3501030389674661E-2</v>
      </c>
    </row>
    <row r="14" spans="1:6" x14ac:dyDescent="0.25">
      <c r="A14" t="s">
        <v>220</v>
      </c>
      <c r="B14">
        <v>484</v>
      </c>
      <c r="C14" t="s">
        <v>382</v>
      </c>
      <c r="D14">
        <v>114182</v>
      </c>
      <c r="E14">
        <v>1</v>
      </c>
      <c r="F14">
        <v>4.1857832287257243E-3</v>
      </c>
    </row>
    <row r="15" spans="1:6" x14ac:dyDescent="0.25">
      <c r="A15" t="s">
        <v>281</v>
      </c>
      <c r="B15">
        <v>1723</v>
      </c>
      <c r="C15" t="s">
        <v>383</v>
      </c>
      <c r="D15">
        <v>10463</v>
      </c>
      <c r="E15">
        <v>0</v>
      </c>
      <c r="F15">
        <v>1.7415513740215064E-4</v>
      </c>
    </row>
    <row r="16" spans="1:6" x14ac:dyDescent="0.25">
      <c r="A16" t="s">
        <v>282</v>
      </c>
      <c r="B16">
        <v>1959</v>
      </c>
      <c r="C16" t="s">
        <v>382</v>
      </c>
      <c r="D16">
        <v>57726</v>
      </c>
      <c r="E16">
        <v>1</v>
      </c>
      <c r="F16">
        <v>1.437869290206714E-3</v>
      </c>
    </row>
    <row r="17" spans="1:6" x14ac:dyDescent="0.25">
      <c r="A17" t="s">
        <v>43</v>
      </c>
      <c r="B17">
        <v>60</v>
      </c>
      <c r="C17" t="s">
        <v>383</v>
      </c>
      <c r="D17">
        <v>3840</v>
      </c>
      <c r="E17">
        <v>0</v>
      </c>
      <c r="F17">
        <v>1.3187313592129619E-5</v>
      </c>
    </row>
    <row r="18" spans="1:6" x14ac:dyDescent="0.25">
      <c r="A18" t="s">
        <v>148</v>
      </c>
      <c r="B18">
        <v>307</v>
      </c>
      <c r="C18" t="s">
        <v>382</v>
      </c>
      <c r="D18">
        <v>160759</v>
      </c>
      <c r="E18">
        <v>1</v>
      </c>
      <c r="F18">
        <v>8.5822452246623725E-3</v>
      </c>
    </row>
    <row r="19" spans="1:6" x14ac:dyDescent="0.25">
      <c r="A19" t="s">
        <v>176</v>
      </c>
      <c r="B19">
        <v>362</v>
      </c>
      <c r="C19" t="s">
        <v>382</v>
      </c>
      <c r="D19">
        <v>94418</v>
      </c>
      <c r="E19">
        <v>1</v>
      </c>
      <c r="F19">
        <v>3.7131442885724023E-3</v>
      </c>
    </row>
    <row r="20" spans="1:6" x14ac:dyDescent="0.25">
      <c r="A20" t="s">
        <v>177</v>
      </c>
      <c r="B20">
        <v>363</v>
      </c>
      <c r="C20" t="s">
        <v>382</v>
      </c>
      <c r="D20">
        <v>918117</v>
      </c>
      <c r="E20">
        <v>1</v>
      </c>
      <c r="F20">
        <v>0.1000597941849274</v>
      </c>
    </row>
    <row r="21" spans="1:6" x14ac:dyDescent="0.25">
      <c r="A21" t="s">
        <v>98</v>
      </c>
      <c r="B21">
        <v>200</v>
      </c>
      <c r="C21" t="s">
        <v>382</v>
      </c>
      <c r="D21">
        <v>167191</v>
      </c>
      <c r="E21">
        <v>1</v>
      </c>
      <c r="F21">
        <v>8.7623347294089205E-3</v>
      </c>
    </row>
    <row r="22" spans="1:6" x14ac:dyDescent="0.25">
      <c r="A22" t="s">
        <v>99</v>
      </c>
      <c r="B22">
        <v>202</v>
      </c>
      <c r="C22" t="s">
        <v>382</v>
      </c>
      <c r="D22">
        <v>165770</v>
      </c>
      <c r="E22">
        <v>1</v>
      </c>
      <c r="F22">
        <v>1.6955344648225099E-2</v>
      </c>
    </row>
    <row r="23" spans="1:6" x14ac:dyDescent="0.25">
      <c r="A23" t="s">
        <v>61</v>
      </c>
      <c r="B23">
        <v>106</v>
      </c>
      <c r="C23" t="s">
        <v>382</v>
      </c>
      <c r="D23">
        <v>69414</v>
      </c>
      <c r="E23">
        <v>1</v>
      </c>
      <c r="F23">
        <v>5.1873804080529544E-3</v>
      </c>
    </row>
    <row r="24" spans="1:6" x14ac:dyDescent="0.25">
      <c r="A24" t="s">
        <v>283</v>
      </c>
      <c r="B24">
        <v>743</v>
      </c>
      <c r="C24" t="s">
        <v>381</v>
      </c>
      <c r="D24">
        <v>17242</v>
      </c>
      <c r="E24">
        <v>8.9679999999999982E-2</v>
      </c>
      <c r="F24">
        <v>4.4165449014854906E-4</v>
      </c>
    </row>
    <row r="25" spans="1:6" x14ac:dyDescent="0.25">
      <c r="A25" t="s">
        <v>284</v>
      </c>
      <c r="B25">
        <v>744</v>
      </c>
      <c r="C25" t="s">
        <v>383</v>
      </c>
      <c r="D25">
        <v>7071</v>
      </c>
      <c r="E25">
        <v>0</v>
      </c>
      <c r="F25">
        <v>1.6484010232576792E-4</v>
      </c>
    </row>
    <row r="26" spans="1:6" x14ac:dyDescent="0.25">
      <c r="A26" t="s">
        <v>149</v>
      </c>
      <c r="B26">
        <v>308</v>
      </c>
      <c r="C26" t="s">
        <v>381</v>
      </c>
      <c r="D26">
        <v>25008</v>
      </c>
      <c r="E26">
        <v>0.40032000000000001</v>
      </c>
      <c r="F26">
        <v>8.6231904525611923E-4</v>
      </c>
    </row>
    <row r="27" spans="1:6" x14ac:dyDescent="0.25">
      <c r="A27" t="s">
        <v>221</v>
      </c>
      <c r="B27">
        <v>489</v>
      </c>
      <c r="C27" t="s">
        <v>382</v>
      </c>
      <c r="D27">
        <v>48812</v>
      </c>
      <c r="E27">
        <v>1</v>
      </c>
      <c r="F27">
        <v>1.372333754370526E-3</v>
      </c>
    </row>
    <row r="28" spans="1:6" x14ac:dyDescent="0.25">
      <c r="A28" t="s">
        <v>100</v>
      </c>
      <c r="B28">
        <v>203</v>
      </c>
      <c r="C28" t="s">
        <v>382</v>
      </c>
      <c r="D28">
        <v>61655</v>
      </c>
      <c r="E28">
        <v>1</v>
      </c>
      <c r="F28">
        <v>1.4270153188697436E-3</v>
      </c>
    </row>
    <row r="29" spans="1:6" x14ac:dyDescent="0.25">
      <c r="A29" t="s">
        <v>384</v>
      </c>
      <c r="B29">
        <v>888</v>
      </c>
      <c r="C29" t="s">
        <v>381</v>
      </c>
      <c r="D29">
        <v>16132</v>
      </c>
      <c r="E29">
        <v>4.5279999999999987E-2</v>
      </c>
      <c r="F29">
        <v>5.8317337506858641E-4</v>
      </c>
    </row>
    <row r="30" spans="1:6" x14ac:dyDescent="0.25">
      <c r="A30" t="s">
        <v>338</v>
      </c>
      <c r="B30">
        <v>1954</v>
      </c>
      <c r="C30" t="s">
        <v>381</v>
      </c>
      <c r="D30">
        <v>35966</v>
      </c>
      <c r="E30">
        <v>0.83864000000000005</v>
      </c>
      <c r="F30">
        <v>1.1327576458595591E-3</v>
      </c>
    </row>
    <row r="31" spans="1:6" x14ac:dyDescent="0.25">
      <c r="A31" t="s">
        <v>339</v>
      </c>
      <c r="B31">
        <v>889</v>
      </c>
      <c r="C31" t="s">
        <v>383</v>
      </c>
      <c r="D31">
        <v>13449</v>
      </c>
      <c r="E31">
        <v>0</v>
      </c>
      <c r="F31">
        <v>4.3708434610037635E-4</v>
      </c>
    </row>
    <row r="32" spans="1:6" x14ac:dyDescent="0.25">
      <c r="A32" t="s">
        <v>101</v>
      </c>
      <c r="B32">
        <v>1945</v>
      </c>
      <c r="C32" t="s">
        <v>381</v>
      </c>
      <c r="D32">
        <v>35420</v>
      </c>
      <c r="E32">
        <v>0.81679999999999997</v>
      </c>
      <c r="F32">
        <v>1.654915262405554E-3</v>
      </c>
    </row>
    <row r="33" spans="1:6" x14ac:dyDescent="0.25">
      <c r="A33" t="s">
        <v>285</v>
      </c>
      <c r="B33">
        <v>1724</v>
      </c>
      <c r="C33" t="s">
        <v>381</v>
      </c>
      <c r="D33">
        <v>19092</v>
      </c>
      <c r="E33">
        <v>0.16368000000000005</v>
      </c>
      <c r="F33">
        <v>3.0211430508649944E-4</v>
      </c>
    </row>
    <row r="34" spans="1:6" x14ac:dyDescent="0.25">
      <c r="A34" t="s">
        <v>340</v>
      </c>
      <c r="B34">
        <v>893</v>
      </c>
      <c r="C34" t="s">
        <v>383</v>
      </c>
      <c r="D34">
        <v>13119</v>
      </c>
      <c r="E34">
        <v>0</v>
      </c>
      <c r="F34">
        <v>3.1508781521122337E-4</v>
      </c>
    </row>
    <row r="35" spans="1:6" x14ac:dyDescent="0.25">
      <c r="A35" t="s">
        <v>178</v>
      </c>
      <c r="B35">
        <v>373</v>
      </c>
      <c r="C35" t="s">
        <v>381</v>
      </c>
      <c r="D35">
        <v>30138</v>
      </c>
      <c r="E35">
        <v>0.60551999999999995</v>
      </c>
      <c r="F35">
        <v>7.5111902569334542E-4</v>
      </c>
    </row>
    <row r="36" spans="1:6" x14ac:dyDescent="0.25">
      <c r="A36" t="s">
        <v>286</v>
      </c>
      <c r="B36">
        <v>748</v>
      </c>
      <c r="C36" t="s">
        <v>382</v>
      </c>
      <c r="D36">
        <v>68864</v>
      </c>
      <c r="E36">
        <v>1</v>
      </c>
      <c r="F36">
        <v>4.7898692208369741E-3</v>
      </c>
    </row>
    <row r="37" spans="1:6" x14ac:dyDescent="0.25">
      <c r="A37" t="s">
        <v>102</v>
      </c>
      <c r="B37">
        <v>1859</v>
      </c>
      <c r="C37" t="s">
        <v>382</v>
      </c>
      <c r="D37">
        <v>44022</v>
      </c>
      <c r="E37">
        <v>1</v>
      </c>
      <c r="F37">
        <v>1.2966103743096897E-3</v>
      </c>
    </row>
    <row r="38" spans="1:6" x14ac:dyDescent="0.25">
      <c r="A38" t="s">
        <v>287</v>
      </c>
      <c r="B38">
        <v>1721</v>
      </c>
      <c r="C38" t="s">
        <v>381</v>
      </c>
      <c r="D38">
        <v>32263</v>
      </c>
      <c r="E38">
        <v>0.69052000000000002</v>
      </c>
      <c r="F38">
        <v>7.0076964151720932E-4</v>
      </c>
    </row>
    <row r="39" spans="1:6" x14ac:dyDescent="0.25">
      <c r="A39" t="s">
        <v>288</v>
      </c>
      <c r="B39">
        <v>753</v>
      </c>
      <c r="C39" t="s">
        <v>381</v>
      </c>
      <c r="D39">
        <v>30897</v>
      </c>
      <c r="E39">
        <v>0.63588</v>
      </c>
      <c r="F39">
        <v>9.0193473581850645E-4</v>
      </c>
    </row>
    <row r="40" spans="1:6" x14ac:dyDescent="0.25">
      <c r="A40" t="s">
        <v>103</v>
      </c>
      <c r="B40">
        <v>209</v>
      </c>
      <c r="C40" t="s">
        <v>381</v>
      </c>
      <c r="D40">
        <v>26573</v>
      </c>
      <c r="E40">
        <v>0.46292</v>
      </c>
      <c r="F40">
        <v>9.4188327320961793E-4</v>
      </c>
    </row>
    <row r="41" spans="1:6" x14ac:dyDescent="0.25">
      <c r="A41" t="s">
        <v>179</v>
      </c>
      <c r="B41">
        <v>375</v>
      </c>
      <c r="C41" t="s">
        <v>382</v>
      </c>
      <c r="D41">
        <v>42711</v>
      </c>
      <c r="E41">
        <v>1</v>
      </c>
      <c r="F41">
        <v>2.5544618971717441E-3</v>
      </c>
    </row>
    <row r="42" spans="1:6" x14ac:dyDescent="0.25">
      <c r="A42" t="s">
        <v>289</v>
      </c>
      <c r="B42">
        <v>1728</v>
      </c>
      <c r="C42" t="s">
        <v>381</v>
      </c>
      <c r="D42">
        <v>21009</v>
      </c>
      <c r="E42">
        <v>0.24036000000000002</v>
      </c>
      <c r="F42">
        <v>3.298084739110267E-4</v>
      </c>
    </row>
    <row r="43" spans="1:6" x14ac:dyDescent="0.25">
      <c r="A43" t="s">
        <v>180</v>
      </c>
      <c r="B43">
        <v>376</v>
      </c>
      <c r="C43" t="s">
        <v>383</v>
      </c>
      <c r="D43">
        <v>12490</v>
      </c>
      <c r="E43">
        <v>0</v>
      </c>
      <c r="F43">
        <v>2.8177336102634296E-4</v>
      </c>
    </row>
    <row r="44" spans="1:6" x14ac:dyDescent="0.25">
      <c r="A44" t="s">
        <v>181</v>
      </c>
      <c r="B44">
        <v>377</v>
      </c>
      <c r="C44" t="s">
        <v>381</v>
      </c>
      <c r="D44">
        <v>23922</v>
      </c>
      <c r="E44">
        <v>0.35687999999999998</v>
      </c>
      <c r="F44">
        <v>5.0724413222142598E-4</v>
      </c>
    </row>
    <row r="45" spans="1:6" x14ac:dyDescent="0.25">
      <c r="A45" t="s">
        <v>222</v>
      </c>
      <c r="B45">
        <v>1901</v>
      </c>
      <c r="C45" t="s">
        <v>381</v>
      </c>
      <c r="D45">
        <v>36308</v>
      </c>
      <c r="E45">
        <v>0.85231999999999997</v>
      </c>
      <c r="F45">
        <v>9.1625986398086211E-4</v>
      </c>
    </row>
    <row r="46" spans="1:6" x14ac:dyDescent="0.25">
      <c r="A46" t="s">
        <v>290</v>
      </c>
      <c r="B46">
        <v>755</v>
      </c>
      <c r="C46" t="s">
        <v>383</v>
      </c>
      <c r="D46">
        <v>11163</v>
      </c>
      <c r="E46">
        <v>0</v>
      </c>
      <c r="F46">
        <v>1.8648959641949549E-4</v>
      </c>
    </row>
    <row r="47" spans="1:6" x14ac:dyDescent="0.25">
      <c r="A47" t="s">
        <v>62</v>
      </c>
      <c r="B47">
        <v>1681</v>
      </c>
      <c r="C47" t="s">
        <v>381</v>
      </c>
      <c r="D47">
        <v>25919</v>
      </c>
      <c r="E47">
        <v>0.43676000000000004</v>
      </c>
      <c r="F47">
        <v>9.5418330977977523E-4</v>
      </c>
    </row>
    <row r="48" spans="1:6" x14ac:dyDescent="0.25">
      <c r="A48" t="s">
        <v>73</v>
      </c>
      <c r="B48">
        <v>147</v>
      </c>
      <c r="C48" t="s">
        <v>381</v>
      </c>
      <c r="D48">
        <v>24524</v>
      </c>
      <c r="E48">
        <v>0.38095999999999997</v>
      </c>
      <c r="F48">
        <v>7.0710707966769627E-4</v>
      </c>
    </row>
    <row r="49" spans="1:6" x14ac:dyDescent="0.25">
      <c r="A49" t="s">
        <v>268</v>
      </c>
      <c r="B49">
        <v>654</v>
      </c>
      <c r="C49" t="s">
        <v>381</v>
      </c>
      <c r="D49">
        <v>23159</v>
      </c>
      <c r="E49">
        <v>0.32635999999999998</v>
      </c>
      <c r="F49">
        <v>5.3004904431562527E-4</v>
      </c>
    </row>
    <row r="50" spans="1:6" x14ac:dyDescent="0.25">
      <c r="A50" t="s">
        <v>291</v>
      </c>
      <c r="B50">
        <v>757</v>
      </c>
      <c r="C50" t="s">
        <v>381</v>
      </c>
      <c r="D50">
        <v>33748</v>
      </c>
      <c r="E50">
        <v>0.74992000000000003</v>
      </c>
      <c r="F50">
        <v>1.1013862218750016E-3</v>
      </c>
    </row>
    <row r="51" spans="1:6" x14ac:dyDescent="0.25">
      <c r="A51" t="s">
        <v>292</v>
      </c>
      <c r="B51">
        <v>758</v>
      </c>
      <c r="C51" t="s">
        <v>382</v>
      </c>
      <c r="D51">
        <v>186438</v>
      </c>
      <c r="E51">
        <v>1</v>
      </c>
      <c r="F51">
        <v>1.1225209810011242E-2</v>
      </c>
    </row>
    <row r="52" spans="1:6" x14ac:dyDescent="0.25">
      <c r="A52" t="s">
        <v>104</v>
      </c>
      <c r="B52">
        <v>1876</v>
      </c>
      <c r="C52" t="s">
        <v>381</v>
      </c>
      <c r="D52">
        <v>36277</v>
      </c>
      <c r="E52">
        <v>0.85107999999999995</v>
      </c>
      <c r="F52">
        <v>7.5554191450278945E-4</v>
      </c>
    </row>
    <row r="53" spans="1:6" x14ac:dyDescent="0.25">
      <c r="A53" t="s">
        <v>105</v>
      </c>
      <c r="B53">
        <v>213</v>
      </c>
      <c r="C53" t="s">
        <v>381</v>
      </c>
      <c r="D53">
        <v>21105</v>
      </c>
      <c r="E53">
        <v>0.24419999999999997</v>
      </c>
      <c r="F53">
        <v>6.0466561808349747E-4</v>
      </c>
    </row>
    <row r="54" spans="1:6" x14ac:dyDescent="0.25">
      <c r="A54" t="s">
        <v>341</v>
      </c>
      <c r="B54">
        <v>899</v>
      </c>
      <c r="C54" t="s">
        <v>381</v>
      </c>
      <c r="D54">
        <v>27682</v>
      </c>
      <c r="E54">
        <v>0.50727999999999995</v>
      </c>
      <c r="F54">
        <v>1.7365077722568914E-3</v>
      </c>
    </row>
    <row r="55" spans="1:6" x14ac:dyDescent="0.25">
      <c r="A55" t="s">
        <v>150</v>
      </c>
      <c r="B55">
        <v>312</v>
      </c>
      <c r="C55" t="s">
        <v>381</v>
      </c>
      <c r="D55">
        <v>16026</v>
      </c>
      <c r="E55">
        <v>4.1039999999999965E-2</v>
      </c>
      <c r="F55">
        <v>3.5283664834365381E-4</v>
      </c>
    </row>
    <row r="56" spans="1:6" x14ac:dyDescent="0.25">
      <c r="A56" t="s">
        <v>151</v>
      </c>
      <c r="B56">
        <v>313</v>
      </c>
      <c r="C56" t="s">
        <v>381</v>
      </c>
      <c r="D56">
        <v>22500</v>
      </c>
      <c r="E56">
        <v>0.30000000000000004</v>
      </c>
      <c r="F56">
        <v>4.5409851640312111E-4</v>
      </c>
    </row>
    <row r="57" spans="1:6" x14ac:dyDescent="0.25">
      <c r="A57" t="s">
        <v>106</v>
      </c>
      <c r="B57">
        <v>214</v>
      </c>
      <c r="C57" t="s">
        <v>381</v>
      </c>
      <c r="D57">
        <v>27725</v>
      </c>
      <c r="E57">
        <v>0.50900000000000001</v>
      </c>
      <c r="F57">
        <v>5.4629754832467533E-4</v>
      </c>
    </row>
    <row r="58" spans="1:6" x14ac:dyDescent="0.25">
      <c r="A58" t="s">
        <v>223</v>
      </c>
      <c r="B58">
        <v>502</v>
      </c>
      <c r="C58" t="s">
        <v>382</v>
      </c>
      <c r="D58">
        <v>67552</v>
      </c>
      <c r="E58">
        <v>1</v>
      </c>
      <c r="F58">
        <v>4.971262699874952E-3</v>
      </c>
    </row>
    <row r="59" spans="1:6" x14ac:dyDescent="0.25">
      <c r="A59" t="s">
        <v>182</v>
      </c>
      <c r="B59">
        <v>383</v>
      </c>
      <c r="C59" t="s">
        <v>381</v>
      </c>
      <c r="D59">
        <v>36345</v>
      </c>
      <c r="E59">
        <v>0.8538</v>
      </c>
      <c r="F59">
        <v>8.0719162579942223E-4</v>
      </c>
    </row>
    <row r="60" spans="1:6" x14ac:dyDescent="0.25">
      <c r="A60" t="s">
        <v>63</v>
      </c>
      <c r="B60">
        <v>109</v>
      </c>
      <c r="C60" t="s">
        <v>381</v>
      </c>
      <c r="D60">
        <v>35700</v>
      </c>
      <c r="E60">
        <v>0.82799999999999996</v>
      </c>
      <c r="F60">
        <v>1.6013177161419284E-3</v>
      </c>
    </row>
    <row r="61" spans="1:6" x14ac:dyDescent="0.25">
      <c r="A61" t="s">
        <v>293</v>
      </c>
      <c r="B61">
        <v>1706</v>
      </c>
      <c r="C61" t="s">
        <v>381</v>
      </c>
      <c r="D61">
        <v>20851</v>
      </c>
      <c r="E61">
        <v>0.23404000000000003</v>
      </c>
      <c r="F61">
        <v>5.310686176233999E-4</v>
      </c>
    </row>
    <row r="62" spans="1:6" x14ac:dyDescent="0.25">
      <c r="A62" t="s">
        <v>107</v>
      </c>
      <c r="B62">
        <v>216</v>
      </c>
      <c r="C62" t="s">
        <v>381</v>
      </c>
      <c r="D62">
        <v>29729</v>
      </c>
      <c r="E62">
        <v>0.58916000000000002</v>
      </c>
      <c r="F62">
        <v>1.095695409278718E-3</v>
      </c>
    </row>
    <row r="63" spans="1:6" x14ac:dyDescent="0.25">
      <c r="A63" t="s">
        <v>74</v>
      </c>
      <c r="B63">
        <v>148</v>
      </c>
      <c r="C63" t="s">
        <v>381</v>
      </c>
      <c r="D63">
        <v>29612</v>
      </c>
      <c r="E63">
        <v>0.58448</v>
      </c>
      <c r="F63">
        <v>5.9030364159748643E-4</v>
      </c>
    </row>
    <row r="64" spans="1:6" x14ac:dyDescent="0.25">
      <c r="A64" t="s">
        <v>44</v>
      </c>
      <c r="B64">
        <v>1891</v>
      </c>
      <c r="C64" t="s">
        <v>381</v>
      </c>
      <c r="D64">
        <v>19194</v>
      </c>
      <c r="E64">
        <v>0.16776000000000002</v>
      </c>
      <c r="F64">
        <v>1.022333071319324E-3</v>
      </c>
    </row>
    <row r="65" spans="1:6" x14ac:dyDescent="0.25">
      <c r="A65" t="s">
        <v>152</v>
      </c>
      <c r="B65">
        <v>310</v>
      </c>
      <c r="C65" t="s">
        <v>382</v>
      </c>
      <c r="D65">
        <v>43884</v>
      </c>
      <c r="E65">
        <v>1</v>
      </c>
      <c r="F65">
        <v>1.4769670475707943E-3</v>
      </c>
    </row>
    <row r="66" spans="1:6" x14ac:dyDescent="0.25">
      <c r="A66" t="s">
        <v>45</v>
      </c>
      <c r="B66">
        <v>1940</v>
      </c>
      <c r="C66" t="s">
        <v>382</v>
      </c>
      <c r="D66">
        <v>51992</v>
      </c>
      <c r="E66">
        <v>1</v>
      </c>
      <c r="F66">
        <v>1.8276981765843814E-3</v>
      </c>
    </row>
    <row r="67" spans="1:6" x14ac:dyDescent="0.25">
      <c r="A67" t="s">
        <v>153</v>
      </c>
      <c r="B67">
        <v>736</v>
      </c>
      <c r="C67" t="s">
        <v>382</v>
      </c>
      <c r="D67">
        <v>45572</v>
      </c>
      <c r="E67">
        <v>1</v>
      </c>
      <c r="F67">
        <v>1.1214087515574061E-3</v>
      </c>
    </row>
    <row r="68" spans="1:6" x14ac:dyDescent="0.25">
      <c r="A68" t="s">
        <v>64</v>
      </c>
      <c r="B68">
        <v>1690</v>
      </c>
      <c r="C68" t="s">
        <v>381</v>
      </c>
      <c r="D68">
        <v>24602</v>
      </c>
      <c r="E68">
        <v>0.38407999999999998</v>
      </c>
      <c r="F68">
        <v>5.6265784565437415E-4</v>
      </c>
    </row>
    <row r="69" spans="1:6" x14ac:dyDescent="0.25">
      <c r="A69" t="s">
        <v>224</v>
      </c>
      <c r="B69">
        <v>503</v>
      </c>
      <c r="C69" t="s">
        <v>382</v>
      </c>
      <c r="D69">
        <v>106086</v>
      </c>
      <c r="E69">
        <v>1</v>
      </c>
      <c r="F69">
        <v>8.1144327525057743E-3</v>
      </c>
    </row>
    <row r="70" spans="1:6" x14ac:dyDescent="0.25">
      <c r="A70" t="s">
        <v>183</v>
      </c>
      <c r="B70">
        <v>400</v>
      </c>
      <c r="C70" t="s">
        <v>382</v>
      </c>
      <c r="D70">
        <v>56539</v>
      </c>
      <c r="E70">
        <v>1</v>
      </c>
      <c r="F70">
        <v>3.897853908914911E-3</v>
      </c>
    </row>
    <row r="71" spans="1:6" x14ac:dyDescent="0.25">
      <c r="A71" t="s">
        <v>294</v>
      </c>
      <c r="B71">
        <v>762</v>
      </c>
      <c r="C71" t="s">
        <v>381</v>
      </c>
      <c r="D71">
        <v>32977</v>
      </c>
      <c r="E71">
        <v>0.71908000000000005</v>
      </c>
      <c r="F71">
        <v>9.8433683061627166E-4</v>
      </c>
    </row>
    <row r="72" spans="1:6" x14ac:dyDescent="0.25">
      <c r="A72" t="s">
        <v>75</v>
      </c>
      <c r="B72">
        <v>150</v>
      </c>
      <c r="C72" t="s">
        <v>382</v>
      </c>
      <c r="D72">
        <v>102781</v>
      </c>
      <c r="E72">
        <v>1</v>
      </c>
      <c r="F72">
        <v>6.6150043732346236E-3</v>
      </c>
    </row>
    <row r="73" spans="1:6" x14ac:dyDescent="0.25">
      <c r="A73" t="s">
        <v>184</v>
      </c>
      <c r="B73">
        <v>384</v>
      </c>
      <c r="C73" t="s">
        <v>381</v>
      </c>
      <c r="D73">
        <v>32785</v>
      </c>
      <c r="E73">
        <v>0.71140000000000003</v>
      </c>
      <c r="F73">
        <v>1.2658628620954362E-3</v>
      </c>
    </row>
    <row r="74" spans="1:6" x14ac:dyDescent="0.25">
      <c r="A74" t="s">
        <v>185</v>
      </c>
      <c r="B74">
        <v>1980</v>
      </c>
      <c r="C74" t="s">
        <v>382</v>
      </c>
      <c r="D74">
        <v>88985</v>
      </c>
      <c r="E74">
        <v>1</v>
      </c>
      <c r="F74">
        <v>2.8763107544833542E-3</v>
      </c>
    </row>
    <row r="75" spans="1:6" x14ac:dyDescent="0.25">
      <c r="A75" t="s">
        <v>76</v>
      </c>
      <c r="B75">
        <v>1774</v>
      </c>
      <c r="C75" t="s">
        <v>381</v>
      </c>
      <c r="D75">
        <v>26743</v>
      </c>
      <c r="E75">
        <v>0.46972000000000003</v>
      </c>
      <c r="F75">
        <v>5.102400808548183E-4</v>
      </c>
    </row>
    <row r="76" spans="1:6" x14ac:dyDescent="0.25">
      <c r="A76" t="s">
        <v>108</v>
      </c>
      <c r="B76">
        <v>221</v>
      </c>
      <c r="C76" t="s">
        <v>383</v>
      </c>
      <c r="D76">
        <v>11081</v>
      </c>
      <c r="E76">
        <v>0</v>
      </c>
      <c r="F76">
        <v>6.2685475694655528E-4</v>
      </c>
    </row>
    <row r="77" spans="1:6" x14ac:dyDescent="0.25">
      <c r="A77" t="s">
        <v>109</v>
      </c>
      <c r="B77">
        <v>222</v>
      </c>
      <c r="C77" t="s">
        <v>382</v>
      </c>
      <c r="D77">
        <v>59195</v>
      </c>
      <c r="E77">
        <v>1</v>
      </c>
      <c r="F77">
        <v>3.0704711873780705E-3</v>
      </c>
    </row>
    <row r="78" spans="1:6" x14ac:dyDescent="0.25">
      <c r="A78" t="s">
        <v>295</v>
      </c>
      <c r="B78">
        <v>766</v>
      </c>
      <c r="C78" t="s">
        <v>381</v>
      </c>
      <c r="D78">
        <v>27200</v>
      </c>
      <c r="E78">
        <v>0.48799999999999999</v>
      </c>
      <c r="F78">
        <v>7.7787784090603801E-4</v>
      </c>
    </row>
    <row r="79" spans="1:6" x14ac:dyDescent="0.25">
      <c r="A79" t="s">
        <v>225</v>
      </c>
      <c r="B79">
        <v>505</v>
      </c>
      <c r="C79" t="s">
        <v>382</v>
      </c>
      <c r="D79">
        <v>121434</v>
      </c>
      <c r="E79">
        <v>1</v>
      </c>
      <c r="F79">
        <v>8.9025465800782605E-3</v>
      </c>
    </row>
    <row r="80" spans="1:6" x14ac:dyDescent="0.25">
      <c r="A80" t="s">
        <v>186</v>
      </c>
      <c r="B80">
        <v>498</v>
      </c>
      <c r="C80" t="s">
        <v>381</v>
      </c>
      <c r="D80">
        <v>20385</v>
      </c>
      <c r="E80">
        <v>0.21540000000000004</v>
      </c>
      <c r="F80">
        <v>4.2828628336237761E-4</v>
      </c>
    </row>
    <row r="81" spans="1:6" x14ac:dyDescent="0.25">
      <c r="A81" t="s">
        <v>296</v>
      </c>
      <c r="B81">
        <v>1719</v>
      </c>
      <c r="C81" t="s">
        <v>381</v>
      </c>
      <c r="D81">
        <v>27994</v>
      </c>
      <c r="E81">
        <v>0.51976</v>
      </c>
      <c r="F81">
        <v>5.1440224457639935E-4</v>
      </c>
    </row>
    <row r="82" spans="1:6" x14ac:dyDescent="0.25">
      <c r="A82" t="s">
        <v>369</v>
      </c>
      <c r="B82">
        <v>303</v>
      </c>
      <c r="C82" t="s">
        <v>382</v>
      </c>
      <c r="D82">
        <v>43593</v>
      </c>
      <c r="E82">
        <v>1</v>
      </c>
      <c r="F82">
        <v>1.5601968048533906E-3</v>
      </c>
    </row>
    <row r="83" spans="1:6" x14ac:dyDescent="0.25">
      <c r="A83" t="s">
        <v>110</v>
      </c>
      <c r="B83">
        <v>225</v>
      </c>
      <c r="C83" t="s">
        <v>381</v>
      </c>
      <c r="D83">
        <v>19505</v>
      </c>
      <c r="E83">
        <v>0.18020000000000003</v>
      </c>
      <c r="F83">
        <v>6.2388668930751865E-4</v>
      </c>
    </row>
    <row r="84" spans="1:6" x14ac:dyDescent="0.25">
      <c r="A84" t="s">
        <v>111</v>
      </c>
      <c r="B84">
        <v>226</v>
      </c>
      <c r="C84" t="s">
        <v>381</v>
      </c>
      <c r="D84">
        <v>24937</v>
      </c>
      <c r="E84">
        <v>0.39748000000000006</v>
      </c>
      <c r="F84">
        <v>9.8709082360055943E-4</v>
      </c>
    </row>
    <row r="85" spans="1:6" x14ac:dyDescent="0.25">
      <c r="A85" t="s">
        <v>342</v>
      </c>
      <c r="B85">
        <v>1711</v>
      </c>
      <c r="C85" t="s">
        <v>381</v>
      </c>
      <c r="D85">
        <v>31967</v>
      </c>
      <c r="E85">
        <v>0.67867999999999995</v>
      </c>
      <c r="F85">
        <v>1.0437255377892282E-3</v>
      </c>
    </row>
    <row r="86" spans="1:6" x14ac:dyDescent="0.25">
      <c r="A86" t="s">
        <v>187</v>
      </c>
      <c r="B86">
        <v>385</v>
      </c>
      <c r="C86" t="s">
        <v>381</v>
      </c>
      <c r="D86">
        <v>36760</v>
      </c>
      <c r="E86">
        <v>0.87039999999999995</v>
      </c>
      <c r="F86">
        <v>7.9346510330268881E-4</v>
      </c>
    </row>
    <row r="87" spans="1:6" x14ac:dyDescent="0.25">
      <c r="A87" t="s">
        <v>112</v>
      </c>
      <c r="B87">
        <v>228</v>
      </c>
      <c r="C87" t="s">
        <v>382</v>
      </c>
      <c r="D87">
        <v>122012</v>
      </c>
      <c r="E87">
        <v>1</v>
      </c>
      <c r="F87">
        <v>4.2365029706753808E-3</v>
      </c>
    </row>
    <row r="88" spans="1:6" x14ac:dyDescent="0.25">
      <c r="A88" t="s">
        <v>154</v>
      </c>
      <c r="B88">
        <v>317</v>
      </c>
      <c r="C88" t="s">
        <v>383</v>
      </c>
      <c r="D88">
        <v>9598</v>
      </c>
      <c r="E88">
        <v>0</v>
      </c>
      <c r="F88">
        <v>1.9809091328091194E-4</v>
      </c>
    </row>
    <row r="89" spans="1:6" x14ac:dyDescent="0.25">
      <c r="A89" t="s">
        <v>32</v>
      </c>
      <c r="B89">
        <v>1979</v>
      </c>
      <c r="C89" t="s">
        <v>382</v>
      </c>
      <c r="D89">
        <v>45394</v>
      </c>
      <c r="E89">
        <v>1</v>
      </c>
      <c r="F89">
        <v>3.3211121679856139E-3</v>
      </c>
    </row>
    <row r="90" spans="1:6" x14ac:dyDescent="0.25">
      <c r="A90" t="s">
        <v>297</v>
      </c>
      <c r="B90">
        <v>770</v>
      </c>
      <c r="C90" t="s">
        <v>381</v>
      </c>
      <c r="D90">
        <v>20004</v>
      </c>
      <c r="E90">
        <v>0.20016</v>
      </c>
      <c r="F90">
        <v>2.9620475283218456E-4</v>
      </c>
    </row>
    <row r="91" spans="1:6" x14ac:dyDescent="0.25">
      <c r="A91" t="s">
        <v>343</v>
      </c>
      <c r="B91">
        <v>1903</v>
      </c>
      <c r="C91" t="s">
        <v>381</v>
      </c>
      <c r="D91">
        <v>25991</v>
      </c>
      <c r="E91">
        <v>0.43964000000000003</v>
      </c>
      <c r="F91">
        <v>5.3939965622406259E-4</v>
      </c>
    </row>
    <row r="92" spans="1:6" x14ac:dyDescent="0.25">
      <c r="A92" t="s">
        <v>298</v>
      </c>
      <c r="B92">
        <v>772</v>
      </c>
      <c r="C92" t="s">
        <v>382</v>
      </c>
      <c r="D92">
        <v>243730</v>
      </c>
      <c r="E92">
        <v>1</v>
      </c>
      <c r="F92">
        <v>1.7759151227175436E-2</v>
      </c>
    </row>
    <row r="93" spans="1:6" x14ac:dyDescent="0.25">
      <c r="A93" t="s">
        <v>113</v>
      </c>
      <c r="B93">
        <v>230</v>
      </c>
      <c r="C93" t="s">
        <v>381</v>
      </c>
      <c r="D93">
        <v>24037</v>
      </c>
      <c r="E93">
        <v>0.36148000000000002</v>
      </c>
      <c r="F93">
        <v>6.5753779628093803E-4</v>
      </c>
    </row>
    <row r="94" spans="1:6" x14ac:dyDescent="0.25">
      <c r="A94" t="s">
        <v>65</v>
      </c>
      <c r="B94">
        <v>114</v>
      </c>
      <c r="C94" t="s">
        <v>382</v>
      </c>
      <c r="D94">
        <v>108765</v>
      </c>
      <c r="E94">
        <v>1</v>
      </c>
      <c r="F94">
        <v>7.3112983976919427E-3</v>
      </c>
    </row>
    <row r="95" spans="1:6" x14ac:dyDescent="0.25">
      <c r="A95" t="s">
        <v>188</v>
      </c>
      <c r="B95">
        <v>388</v>
      </c>
      <c r="C95" t="s">
        <v>381</v>
      </c>
      <c r="D95">
        <v>18885</v>
      </c>
      <c r="E95">
        <v>0.15539999999999998</v>
      </c>
      <c r="F95">
        <v>7.5661031433520967E-4</v>
      </c>
    </row>
    <row r="96" spans="1:6" x14ac:dyDescent="0.25">
      <c r="A96" t="s">
        <v>77</v>
      </c>
      <c r="B96">
        <v>153</v>
      </c>
      <c r="C96" t="s">
        <v>382</v>
      </c>
      <c r="D96">
        <v>161235</v>
      </c>
      <c r="E96">
        <v>1</v>
      </c>
      <c r="F96">
        <v>1.5294374849522563E-2</v>
      </c>
    </row>
    <row r="97" spans="1:6" x14ac:dyDescent="0.25">
      <c r="A97" t="s">
        <v>114</v>
      </c>
      <c r="B97">
        <v>232</v>
      </c>
      <c r="C97" t="s">
        <v>381</v>
      </c>
      <c r="D97">
        <v>33283</v>
      </c>
      <c r="E97">
        <v>0.73131999999999997</v>
      </c>
      <c r="F97">
        <v>1.0400347773388999E-3</v>
      </c>
    </row>
    <row r="98" spans="1:6" x14ac:dyDescent="0.25">
      <c r="A98" t="s">
        <v>115</v>
      </c>
      <c r="B98">
        <v>233</v>
      </c>
      <c r="C98" t="s">
        <v>381</v>
      </c>
      <c r="D98">
        <v>27496</v>
      </c>
      <c r="E98">
        <v>0.49984000000000006</v>
      </c>
      <c r="F98">
        <v>8.3285833015835835E-4</v>
      </c>
    </row>
    <row r="99" spans="1:6" x14ac:dyDescent="0.25">
      <c r="A99" t="s">
        <v>299</v>
      </c>
      <c r="B99">
        <v>777</v>
      </c>
      <c r="C99" t="s">
        <v>382</v>
      </c>
      <c r="D99">
        <v>44578</v>
      </c>
      <c r="E99">
        <v>1</v>
      </c>
      <c r="F99">
        <v>1.8884781210535457E-3</v>
      </c>
    </row>
    <row r="100" spans="1:6" x14ac:dyDescent="0.25">
      <c r="A100" t="s">
        <v>300</v>
      </c>
      <c r="B100">
        <v>779</v>
      </c>
      <c r="C100" t="s">
        <v>381</v>
      </c>
      <c r="D100">
        <v>22099</v>
      </c>
      <c r="E100">
        <v>0.28395999999999999</v>
      </c>
      <c r="F100">
        <v>7.6874419822419023E-4</v>
      </c>
    </row>
    <row r="101" spans="1:6" x14ac:dyDescent="0.25">
      <c r="A101" t="s">
        <v>301</v>
      </c>
      <c r="B101">
        <v>1771</v>
      </c>
      <c r="C101" t="s">
        <v>382</v>
      </c>
      <c r="D101">
        <v>40441</v>
      </c>
      <c r="E101">
        <v>1</v>
      </c>
      <c r="F101">
        <v>1.5671792381688307E-3</v>
      </c>
    </row>
    <row r="102" spans="1:6" x14ac:dyDescent="0.25">
      <c r="A102" t="s">
        <v>302</v>
      </c>
      <c r="B102">
        <v>1652</v>
      </c>
      <c r="C102" t="s">
        <v>381</v>
      </c>
      <c r="D102">
        <v>31383</v>
      </c>
      <c r="E102">
        <v>0.65532000000000001</v>
      </c>
      <c r="F102">
        <v>8.7121087828643769E-4</v>
      </c>
    </row>
    <row r="103" spans="1:6" x14ac:dyDescent="0.25">
      <c r="A103" t="s">
        <v>344</v>
      </c>
      <c r="B103">
        <v>907</v>
      </c>
      <c r="C103" t="s">
        <v>381</v>
      </c>
      <c r="D103">
        <v>17764</v>
      </c>
      <c r="E103">
        <v>0.11055999999999999</v>
      </c>
      <c r="F103">
        <v>5.7908879940894058E-4</v>
      </c>
    </row>
    <row r="104" spans="1:6" x14ac:dyDescent="0.25">
      <c r="A104" t="s">
        <v>303</v>
      </c>
      <c r="B104">
        <v>784</v>
      </c>
      <c r="C104" t="s">
        <v>381</v>
      </c>
      <c r="D104">
        <v>26815</v>
      </c>
      <c r="E104">
        <v>0.47260000000000002</v>
      </c>
      <c r="F104">
        <v>9.2922120896314858E-4</v>
      </c>
    </row>
    <row r="105" spans="1:6" x14ac:dyDescent="0.25">
      <c r="A105" t="s">
        <v>226</v>
      </c>
      <c r="B105">
        <v>1924</v>
      </c>
      <c r="C105" t="s">
        <v>382</v>
      </c>
      <c r="D105">
        <v>51590</v>
      </c>
      <c r="E105">
        <v>1</v>
      </c>
      <c r="F105">
        <v>1.4544624507867327E-3</v>
      </c>
    </row>
    <row r="106" spans="1:6" x14ac:dyDescent="0.25">
      <c r="A106" t="s">
        <v>269</v>
      </c>
      <c r="B106">
        <v>664</v>
      </c>
      <c r="C106" t="s">
        <v>381</v>
      </c>
      <c r="D106">
        <v>39433</v>
      </c>
      <c r="E106">
        <v>0.97731999999999997</v>
      </c>
      <c r="F106">
        <v>2.1128393712289994E-3</v>
      </c>
    </row>
    <row r="107" spans="1:6" x14ac:dyDescent="0.25">
      <c r="A107" t="s">
        <v>304</v>
      </c>
      <c r="B107">
        <v>785</v>
      </c>
      <c r="C107" t="s">
        <v>381</v>
      </c>
      <c r="D107">
        <v>24177</v>
      </c>
      <c r="E107">
        <v>0.36708000000000007</v>
      </c>
      <c r="F107">
        <v>6.5761643053394603E-4</v>
      </c>
    </row>
    <row r="108" spans="1:6" x14ac:dyDescent="0.25">
      <c r="A108" t="s">
        <v>189</v>
      </c>
      <c r="B108">
        <v>1942</v>
      </c>
      <c r="C108" t="s">
        <v>382</v>
      </c>
      <c r="D108">
        <v>60341</v>
      </c>
      <c r="E108">
        <v>1</v>
      </c>
      <c r="F108">
        <v>2.1685754588072308E-3</v>
      </c>
    </row>
    <row r="109" spans="1:6" x14ac:dyDescent="0.25">
      <c r="A109" t="s">
        <v>227</v>
      </c>
      <c r="B109">
        <v>512</v>
      </c>
      <c r="C109" t="s">
        <v>381</v>
      </c>
      <c r="D109">
        <v>38461</v>
      </c>
      <c r="E109">
        <v>0.93844000000000005</v>
      </c>
      <c r="F109">
        <v>2.1782155709598851E-3</v>
      </c>
    </row>
    <row r="110" spans="1:6" x14ac:dyDescent="0.25">
      <c r="A110" t="s">
        <v>228</v>
      </c>
      <c r="B110">
        <v>513</v>
      </c>
      <c r="C110" t="s">
        <v>382</v>
      </c>
      <c r="D110">
        <v>75316</v>
      </c>
      <c r="E110">
        <v>1</v>
      </c>
      <c r="F110">
        <v>4.5571979661794462E-3</v>
      </c>
    </row>
    <row r="111" spans="1:6" x14ac:dyDescent="0.25">
      <c r="A111" t="s">
        <v>385</v>
      </c>
      <c r="B111">
        <v>14</v>
      </c>
      <c r="C111" t="s">
        <v>382</v>
      </c>
      <c r="D111">
        <v>238147</v>
      </c>
      <c r="E111">
        <v>1</v>
      </c>
      <c r="F111">
        <v>2.6209191272684351E-2</v>
      </c>
    </row>
    <row r="112" spans="1:6" x14ac:dyDescent="0.25">
      <c r="A112" t="s">
        <v>345</v>
      </c>
      <c r="B112">
        <v>1729</v>
      </c>
      <c r="C112" t="s">
        <v>383</v>
      </c>
      <c r="D112">
        <v>14210</v>
      </c>
      <c r="E112">
        <v>0</v>
      </c>
      <c r="F112">
        <v>3.5508485651233749E-4</v>
      </c>
    </row>
    <row r="113" spans="1:6" x14ac:dyDescent="0.25">
      <c r="A113" t="s">
        <v>78</v>
      </c>
      <c r="B113">
        <v>158</v>
      </c>
      <c r="C113" t="s">
        <v>381</v>
      </c>
      <c r="D113">
        <v>24502</v>
      </c>
      <c r="E113">
        <v>0.38007999999999997</v>
      </c>
      <c r="F113">
        <v>6.8748627469945281E-4</v>
      </c>
    </row>
    <row r="114" spans="1:6" x14ac:dyDescent="0.25">
      <c r="A114" t="s">
        <v>190</v>
      </c>
      <c r="B114">
        <v>392</v>
      </c>
      <c r="C114" t="s">
        <v>382</v>
      </c>
      <c r="D114">
        <v>165396</v>
      </c>
      <c r="E114">
        <v>1</v>
      </c>
      <c r="F114">
        <v>9.4936019624465851E-3</v>
      </c>
    </row>
    <row r="115" spans="1:6" x14ac:dyDescent="0.25">
      <c r="A115" t="s">
        <v>191</v>
      </c>
      <c r="B115">
        <v>394</v>
      </c>
      <c r="C115" t="s">
        <v>382</v>
      </c>
      <c r="D115">
        <v>162300</v>
      </c>
      <c r="E115">
        <v>1</v>
      </c>
      <c r="F115">
        <v>5.473306041756624E-3</v>
      </c>
    </row>
    <row r="116" spans="1:6" x14ac:dyDescent="0.25">
      <c r="A116" t="s">
        <v>305</v>
      </c>
      <c r="B116">
        <v>1655</v>
      </c>
      <c r="C116" t="s">
        <v>381</v>
      </c>
      <c r="D116">
        <v>31041</v>
      </c>
      <c r="E116">
        <v>0.64163999999999999</v>
      </c>
      <c r="F116">
        <v>1.2548452198265989E-3</v>
      </c>
    </row>
    <row r="117" spans="1:6" x14ac:dyDescent="0.25">
      <c r="A117" t="s">
        <v>79</v>
      </c>
      <c r="B117">
        <v>160</v>
      </c>
      <c r="C117" t="s">
        <v>382</v>
      </c>
      <c r="D117">
        <v>62509</v>
      </c>
      <c r="E117">
        <v>1</v>
      </c>
      <c r="F117">
        <v>2.0609644840262615E-3</v>
      </c>
    </row>
    <row r="118" spans="1:6" x14ac:dyDescent="0.25">
      <c r="A118" t="s">
        <v>116</v>
      </c>
      <c r="B118">
        <v>243</v>
      </c>
      <c r="C118" t="s">
        <v>382</v>
      </c>
      <c r="D118">
        <v>48906</v>
      </c>
      <c r="E118">
        <v>1</v>
      </c>
      <c r="F118">
        <v>2.0108704931896312E-3</v>
      </c>
    </row>
    <row r="119" spans="1:6" x14ac:dyDescent="0.25">
      <c r="A119" t="s">
        <v>229</v>
      </c>
      <c r="B119">
        <v>523</v>
      </c>
      <c r="C119" t="s">
        <v>381</v>
      </c>
      <c r="D119">
        <v>18681</v>
      </c>
      <c r="E119">
        <v>0.14724000000000004</v>
      </c>
      <c r="F119">
        <v>4.3253841415105579E-4</v>
      </c>
    </row>
    <row r="120" spans="1:6" x14ac:dyDescent="0.25">
      <c r="A120" t="s">
        <v>46</v>
      </c>
      <c r="B120">
        <v>72</v>
      </c>
      <c r="C120" t="s">
        <v>381</v>
      </c>
      <c r="D120">
        <v>16188</v>
      </c>
      <c r="E120">
        <v>4.7520000000000007E-2</v>
      </c>
      <c r="F120">
        <v>1.2239552294408841E-3</v>
      </c>
    </row>
    <row r="121" spans="1:6" x14ac:dyDescent="0.25">
      <c r="A121" t="s">
        <v>117</v>
      </c>
      <c r="B121">
        <v>244</v>
      </c>
      <c r="C121" t="s">
        <v>383</v>
      </c>
      <c r="D121">
        <v>12563</v>
      </c>
      <c r="E121">
        <v>0</v>
      </c>
      <c r="F121">
        <v>2.5325603518425356E-4</v>
      </c>
    </row>
    <row r="122" spans="1:6" x14ac:dyDescent="0.25">
      <c r="A122" t="s">
        <v>192</v>
      </c>
      <c r="B122">
        <v>396</v>
      </c>
      <c r="C122" t="s">
        <v>381</v>
      </c>
      <c r="D122">
        <v>39431</v>
      </c>
      <c r="E122">
        <v>0.97724</v>
      </c>
      <c r="F122">
        <v>1.8953592874747934E-3</v>
      </c>
    </row>
    <row r="123" spans="1:6" x14ac:dyDescent="0.25">
      <c r="A123" t="s">
        <v>193</v>
      </c>
      <c r="B123">
        <v>397</v>
      </c>
      <c r="C123" t="s">
        <v>381</v>
      </c>
      <c r="D123">
        <v>27778</v>
      </c>
      <c r="E123">
        <v>0.51112000000000002</v>
      </c>
      <c r="F123">
        <v>6.1395293103074834E-4</v>
      </c>
    </row>
    <row r="124" spans="1:6" x14ac:dyDescent="0.25">
      <c r="A124" t="s">
        <v>118</v>
      </c>
      <c r="B124">
        <v>246</v>
      </c>
      <c r="C124" t="s">
        <v>381</v>
      </c>
      <c r="D124">
        <v>19214</v>
      </c>
      <c r="E124">
        <v>0.16856000000000004</v>
      </c>
      <c r="F124">
        <v>4.2782113499547822E-4</v>
      </c>
    </row>
    <row r="125" spans="1:6" x14ac:dyDescent="0.25">
      <c r="A125" t="s">
        <v>47</v>
      </c>
      <c r="B125">
        <v>74</v>
      </c>
      <c r="C125" t="s">
        <v>382</v>
      </c>
      <c r="D125">
        <v>51637</v>
      </c>
      <c r="E125">
        <v>1</v>
      </c>
      <c r="F125">
        <v>3.1226457253871885E-3</v>
      </c>
    </row>
    <row r="126" spans="1:6" x14ac:dyDescent="0.25">
      <c r="A126" t="s">
        <v>346</v>
      </c>
      <c r="B126">
        <v>917</v>
      </c>
      <c r="C126" t="s">
        <v>382</v>
      </c>
      <c r="D126">
        <v>87122</v>
      </c>
      <c r="E126">
        <v>1</v>
      </c>
      <c r="F126">
        <v>9.8392669949336018E-3</v>
      </c>
    </row>
    <row r="127" spans="1:6" x14ac:dyDescent="0.25">
      <c r="A127" t="s">
        <v>306</v>
      </c>
      <c r="B127">
        <v>1658</v>
      </c>
      <c r="C127" t="s">
        <v>381</v>
      </c>
      <c r="D127">
        <v>16627</v>
      </c>
      <c r="E127">
        <v>6.5080000000000027E-2</v>
      </c>
      <c r="F127">
        <v>2.3401177335333534E-4</v>
      </c>
    </row>
    <row r="128" spans="1:6" x14ac:dyDescent="0.25">
      <c r="A128" t="s">
        <v>194</v>
      </c>
      <c r="B128">
        <v>399</v>
      </c>
      <c r="C128" t="s">
        <v>381</v>
      </c>
      <c r="D128">
        <v>24319</v>
      </c>
      <c r="E128">
        <v>0.37275999999999998</v>
      </c>
      <c r="F128">
        <v>5.9522708851557729E-4</v>
      </c>
    </row>
    <row r="129" spans="1:6" x14ac:dyDescent="0.25">
      <c r="A129" t="s">
        <v>80</v>
      </c>
      <c r="B129">
        <v>163</v>
      </c>
      <c r="C129" t="s">
        <v>381</v>
      </c>
      <c r="D129">
        <v>36261</v>
      </c>
      <c r="E129">
        <v>0.85043999999999997</v>
      </c>
      <c r="F129">
        <v>1.0112270798296439E-3</v>
      </c>
    </row>
    <row r="130" spans="1:6" x14ac:dyDescent="0.25">
      <c r="A130" t="s">
        <v>307</v>
      </c>
      <c r="B130">
        <v>794</v>
      </c>
      <c r="C130" t="s">
        <v>382</v>
      </c>
      <c r="D130">
        <v>94898</v>
      </c>
      <c r="E130">
        <v>1</v>
      </c>
      <c r="F130">
        <v>6.5845894381246781E-3</v>
      </c>
    </row>
    <row r="131" spans="1:6" x14ac:dyDescent="0.25">
      <c r="A131" t="s">
        <v>230</v>
      </c>
      <c r="B131">
        <v>531</v>
      </c>
      <c r="C131" t="s">
        <v>381</v>
      </c>
      <c r="D131">
        <v>32183</v>
      </c>
      <c r="E131">
        <v>0.68732000000000004</v>
      </c>
      <c r="F131">
        <v>8.4808968459260743E-4</v>
      </c>
    </row>
    <row r="132" spans="1:6" x14ac:dyDescent="0.25">
      <c r="A132" t="s">
        <v>386</v>
      </c>
      <c r="B132">
        <v>164</v>
      </c>
      <c r="C132" t="s">
        <v>382</v>
      </c>
      <c r="D132">
        <v>82311</v>
      </c>
      <c r="E132">
        <v>1</v>
      </c>
      <c r="F132">
        <v>5.7230119379113676E-3</v>
      </c>
    </row>
    <row r="133" spans="1:6" x14ac:dyDescent="0.25">
      <c r="A133" t="s">
        <v>34</v>
      </c>
      <c r="B133">
        <v>1966</v>
      </c>
      <c r="C133" t="s">
        <v>382</v>
      </c>
      <c r="D133">
        <v>48298</v>
      </c>
      <c r="E133">
        <v>1</v>
      </c>
      <c r="F133">
        <v>2.5132477113238667E-3</v>
      </c>
    </row>
    <row r="134" spans="1:6" x14ac:dyDescent="0.25">
      <c r="A134" t="s">
        <v>119</v>
      </c>
      <c r="B134">
        <v>252</v>
      </c>
      <c r="C134" t="s">
        <v>381</v>
      </c>
      <c r="D134">
        <v>16824</v>
      </c>
      <c r="E134">
        <v>7.2960000000000025E-2</v>
      </c>
      <c r="F134">
        <v>6.0647860632739316E-4</v>
      </c>
    </row>
    <row r="135" spans="1:6" x14ac:dyDescent="0.25">
      <c r="A135" t="s">
        <v>308</v>
      </c>
      <c r="B135">
        <v>797</v>
      </c>
      <c r="C135" t="s">
        <v>382</v>
      </c>
      <c r="D135">
        <v>45830</v>
      </c>
      <c r="E135">
        <v>1</v>
      </c>
      <c r="F135">
        <v>1.4510651141310118E-3</v>
      </c>
    </row>
    <row r="136" spans="1:6" x14ac:dyDescent="0.25">
      <c r="A136" t="s">
        <v>231</v>
      </c>
      <c r="B136">
        <v>534</v>
      </c>
      <c r="C136" t="s">
        <v>381</v>
      </c>
      <c r="D136">
        <v>22453</v>
      </c>
      <c r="E136">
        <v>0.29811999999999994</v>
      </c>
      <c r="F136">
        <v>6.5881874793584719E-4</v>
      </c>
    </row>
    <row r="137" spans="1:6" x14ac:dyDescent="0.25">
      <c r="A137" t="s">
        <v>309</v>
      </c>
      <c r="B137">
        <v>798</v>
      </c>
      <c r="C137" t="s">
        <v>381</v>
      </c>
      <c r="D137">
        <v>15949</v>
      </c>
      <c r="E137">
        <v>3.7959999999999994E-2</v>
      </c>
      <c r="F137">
        <v>2.7052835956486261E-4</v>
      </c>
    </row>
    <row r="138" spans="1:6" x14ac:dyDescent="0.25">
      <c r="A138" t="s">
        <v>195</v>
      </c>
      <c r="B138">
        <v>402</v>
      </c>
      <c r="C138" t="s">
        <v>382</v>
      </c>
      <c r="D138">
        <v>93345</v>
      </c>
      <c r="E138">
        <v>1</v>
      </c>
      <c r="F138">
        <v>5.1604067863671079E-3</v>
      </c>
    </row>
    <row r="139" spans="1:6" x14ac:dyDescent="0.25">
      <c r="A139" t="s">
        <v>232</v>
      </c>
      <c r="B139">
        <v>1963</v>
      </c>
      <c r="C139" t="s">
        <v>382</v>
      </c>
      <c r="D139">
        <v>89760</v>
      </c>
      <c r="E139">
        <v>1</v>
      </c>
      <c r="F139">
        <v>2.2229076628324062E-3</v>
      </c>
    </row>
    <row r="140" spans="1:6" x14ac:dyDescent="0.25">
      <c r="A140" t="s">
        <v>82</v>
      </c>
      <c r="B140">
        <v>1735</v>
      </c>
      <c r="C140" t="s">
        <v>381</v>
      </c>
      <c r="D140">
        <v>35455</v>
      </c>
      <c r="E140">
        <v>0.81820000000000004</v>
      </c>
      <c r="F140">
        <v>1.0187448408007487E-3</v>
      </c>
    </row>
    <row r="141" spans="1:6" x14ac:dyDescent="0.25">
      <c r="A141" t="s">
        <v>196</v>
      </c>
      <c r="B141">
        <v>1911</v>
      </c>
      <c r="C141" t="s">
        <v>382</v>
      </c>
      <c r="D141">
        <v>49431</v>
      </c>
      <c r="E141">
        <v>1</v>
      </c>
      <c r="F141">
        <v>1.5230840910795149E-3</v>
      </c>
    </row>
    <row r="142" spans="1:6" x14ac:dyDescent="0.25">
      <c r="A142" t="s">
        <v>66</v>
      </c>
      <c r="B142">
        <v>118</v>
      </c>
      <c r="C142" t="s">
        <v>382</v>
      </c>
      <c r="D142">
        <v>56433</v>
      </c>
      <c r="E142">
        <v>1</v>
      </c>
      <c r="F142">
        <v>3.0729814352260616E-3</v>
      </c>
    </row>
    <row r="143" spans="1:6" x14ac:dyDescent="0.25">
      <c r="A143" t="s">
        <v>197</v>
      </c>
      <c r="B143">
        <v>405</v>
      </c>
      <c r="C143" t="s">
        <v>382</v>
      </c>
      <c r="D143">
        <v>75216</v>
      </c>
      <c r="E143">
        <v>1</v>
      </c>
      <c r="F143">
        <v>3.8771721659721999E-3</v>
      </c>
    </row>
    <row r="144" spans="1:6" x14ac:dyDescent="0.25">
      <c r="A144" t="s">
        <v>347</v>
      </c>
      <c r="B144">
        <v>1507</v>
      </c>
      <c r="C144" t="s">
        <v>382</v>
      </c>
      <c r="D144">
        <v>43641</v>
      </c>
      <c r="E144">
        <v>1</v>
      </c>
      <c r="F144">
        <v>1.0883920837635511E-3</v>
      </c>
    </row>
    <row r="145" spans="1:6" x14ac:dyDescent="0.25">
      <c r="A145" t="s">
        <v>155</v>
      </c>
      <c r="B145">
        <v>321</v>
      </c>
      <c r="C145" t="s">
        <v>382</v>
      </c>
      <c r="D145">
        <v>50581</v>
      </c>
      <c r="E145">
        <v>1</v>
      </c>
      <c r="F145">
        <v>1.3234593887069491E-3</v>
      </c>
    </row>
    <row r="146" spans="1:6" x14ac:dyDescent="0.25">
      <c r="A146" t="s">
        <v>198</v>
      </c>
      <c r="B146">
        <v>406</v>
      </c>
      <c r="C146" t="s">
        <v>382</v>
      </c>
      <c r="D146">
        <v>41252</v>
      </c>
      <c r="E146">
        <v>1</v>
      </c>
      <c r="F146">
        <v>1.7066864795817615E-3</v>
      </c>
    </row>
    <row r="147" spans="1:6" x14ac:dyDescent="0.25">
      <c r="A147" t="s">
        <v>270</v>
      </c>
      <c r="B147">
        <v>677</v>
      </c>
      <c r="C147" t="s">
        <v>381</v>
      </c>
      <c r="D147">
        <v>27596</v>
      </c>
      <c r="E147">
        <v>0.50383999999999995</v>
      </c>
      <c r="F147">
        <v>8.2570189646285184E-4</v>
      </c>
    </row>
    <row r="148" spans="1:6" x14ac:dyDescent="0.25">
      <c r="A148" t="s">
        <v>156</v>
      </c>
      <c r="B148">
        <v>353</v>
      </c>
      <c r="C148" t="s">
        <v>381</v>
      </c>
      <c r="D148">
        <v>33492</v>
      </c>
      <c r="E148">
        <v>0.73968</v>
      </c>
      <c r="F148">
        <v>8.0024044074329193E-4</v>
      </c>
    </row>
    <row r="149" spans="1:6" x14ac:dyDescent="0.25">
      <c r="A149" t="s">
        <v>233</v>
      </c>
      <c r="B149">
        <v>1884</v>
      </c>
      <c r="C149" t="s">
        <v>381</v>
      </c>
      <c r="D149">
        <v>28573</v>
      </c>
      <c r="E149">
        <v>0.54291999999999996</v>
      </c>
      <c r="F149">
        <v>7.90855986054962E-4</v>
      </c>
    </row>
    <row r="150" spans="1:6" x14ac:dyDescent="0.25">
      <c r="A150" t="s">
        <v>83</v>
      </c>
      <c r="B150">
        <v>166</v>
      </c>
      <c r="C150" t="s">
        <v>382</v>
      </c>
      <c r="D150">
        <v>55614</v>
      </c>
      <c r="E150">
        <v>1</v>
      </c>
      <c r="F150">
        <v>2.1072827389199645E-3</v>
      </c>
    </row>
    <row r="151" spans="1:6" x14ac:dyDescent="0.25">
      <c r="A151" t="s">
        <v>271</v>
      </c>
      <c r="B151">
        <v>678</v>
      </c>
      <c r="C151" t="s">
        <v>383</v>
      </c>
      <c r="D151">
        <v>13051</v>
      </c>
      <c r="E151">
        <v>0</v>
      </c>
      <c r="F151">
        <v>2.3349063280177237E-4</v>
      </c>
    </row>
    <row r="152" spans="1:6" x14ac:dyDescent="0.25">
      <c r="A152" t="s">
        <v>234</v>
      </c>
      <c r="B152">
        <v>537</v>
      </c>
      <c r="C152" t="s">
        <v>382</v>
      </c>
      <c r="D152">
        <v>66607</v>
      </c>
      <c r="E152">
        <v>1</v>
      </c>
      <c r="F152">
        <v>2.3096668720440296E-3</v>
      </c>
    </row>
    <row r="153" spans="1:6" x14ac:dyDescent="0.25">
      <c r="A153" t="s">
        <v>348</v>
      </c>
      <c r="B153">
        <v>928</v>
      </c>
      <c r="C153" t="s">
        <v>382</v>
      </c>
      <c r="D153">
        <v>45620</v>
      </c>
      <c r="E153">
        <v>1</v>
      </c>
      <c r="F153">
        <v>4.1559366262543121E-3</v>
      </c>
    </row>
    <row r="154" spans="1:6" x14ac:dyDescent="0.25">
      <c r="A154" t="s">
        <v>199</v>
      </c>
      <c r="B154">
        <v>1598</v>
      </c>
      <c r="C154" t="s">
        <v>381</v>
      </c>
      <c r="D154">
        <v>23509</v>
      </c>
      <c r="E154">
        <v>0.34036</v>
      </c>
      <c r="F154">
        <v>4.6434447280711355E-4</v>
      </c>
    </row>
    <row r="155" spans="1:6" x14ac:dyDescent="0.25">
      <c r="A155" t="s">
        <v>235</v>
      </c>
      <c r="B155">
        <v>542</v>
      </c>
      <c r="C155" t="s">
        <v>381</v>
      </c>
      <c r="D155">
        <v>29504</v>
      </c>
      <c r="E155">
        <v>0.58016000000000001</v>
      </c>
      <c r="F155">
        <v>1.2599373191892783E-3</v>
      </c>
    </row>
    <row r="156" spans="1:6" x14ac:dyDescent="0.25">
      <c r="A156" t="s">
        <v>236</v>
      </c>
      <c r="B156">
        <v>1931</v>
      </c>
      <c r="C156" t="s">
        <v>382</v>
      </c>
      <c r="D156">
        <v>57700</v>
      </c>
      <c r="E156">
        <v>1</v>
      </c>
      <c r="F156">
        <v>1.6942898226384848E-3</v>
      </c>
    </row>
    <row r="157" spans="1:6" x14ac:dyDescent="0.25">
      <c r="A157" t="s">
        <v>310</v>
      </c>
      <c r="B157">
        <v>1659</v>
      </c>
      <c r="C157" t="s">
        <v>381</v>
      </c>
      <c r="D157">
        <v>23260</v>
      </c>
      <c r="E157">
        <v>0.33040000000000003</v>
      </c>
      <c r="F157">
        <v>5.2842096531492103E-4</v>
      </c>
    </row>
    <row r="158" spans="1:6" x14ac:dyDescent="0.25">
      <c r="A158" t="s">
        <v>387</v>
      </c>
      <c r="B158">
        <v>1982</v>
      </c>
      <c r="C158" t="s">
        <v>382</v>
      </c>
      <c r="D158">
        <v>91423</v>
      </c>
      <c r="E158">
        <v>1</v>
      </c>
      <c r="F158">
        <v>2.6492963839389091E-3</v>
      </c>
    </row>
    <row r="159" spans="1:6" x14ac:dyDescent="0.25">
      <c r="A159" t="s">
        <v>349</v>
      </c>
      <c r="B159">
        <v>882</v>
      </c>
      <c r="C159" t="s">
        <v>381</v>
      </c>
      <c r="D159">
        <v>37175</v>
      </c>
      <c r="E159">
        <v>0.88700000000000001</v>
      </c>
      <c r="F159">
        <v>2.2251844074930994E-3</v>
      </c>
    </row>
    <row r="160" spans="1:6" x14ac:dyDescent="0.25">
      <c r="A160" t="s">
        <v>200</v>
      </c>
      <c r="B160">
        <v>415</v>
      </c>
      <c r="C160" t="s">
        <v>383</v>
      </c>
      <c r="D160">
        <v>11705</v>
      </c>
      <c r="E160">
        <v>0</v>
      </c>
      <c r="F160">
        <v>3.0528054217891884E-4</v>
      </c>
    </row>
    <row r="161" spans="1:6" x14ac:dyDescent="0.25">
      <c r="A161" t="s">
        <v>237</v>
      </c>
      <c r="B161">
        <v>1621</v>
      </c>
      <c r="C161" t="s">
        <v>382</v>
      </c>
      <c r="D161">
        <v>64754</v>
      </c>
      <c r="E161">
        <v>1</v>
      </c>
      <c r="F161">
        <v>1.5423191110633678E-3</v>
      </c>
    </row>
    <row r="162" spans="1:6" x14ac:dyDescent="0.25">
      <c r="A162" t="s">
        <v>388</v>
      </c>
      <c r="B162">
        <v>417</v>
      </c>
      <c r="C162" t="s">
        <v>383</v>
      </c>
      <c r="D162">
        <v>11712</v>
      </c>
      <c r="E162">
        <v>0</v>
      </c>
      <c r="F162">
        <v>2.6463594762431196E-4</v>
      </c>
    </row>
    <row r="163" spans="1:6" x14ac:dyDescent="0.25">
      <c r="A163" t="s">
        <v>48</v>
      </c>
      <c r="B163">
        <v>80</v>
      </c>
      <c r="C163" t="s">
        <v>382</v>
      </c>
      <c r="D163">
        <v>127073</v>
      </c>
      <c r="E163">
        <v>1</v>
      </c>
      <c r="F163">
        <v>1.2916418327736424E-2</v>
      </c>
    </row>
    <row r="164" spans="1:6" x14ac:dyDescent="0.25">
      <c r="A164" t="s">
        <v>238</v>
      </c>
      <c r="B164">
        <v>546</v>
      </c>
      <c r="C164" t="s">
        <v>382</v>
      </c>
      <c r="D164">
        <v>127089</v>
      </c>
      <c r="E164">
        <v>1</v>
      </c>
      <c r="F164">
        <v>8.3064882100072467E-3</v>
      </c>
    </row>
    <row r="165" spans="1:6" x14ac:dyDescent="0.25">
      <c r="A165" t="s">
        <v>239</v>
      </c>
      <c r="B165">
        <v>547</v>
      </c>
      <c r="C165" t="s">
        <v>381</v>
      </c>
      <c r="D165">
        <v>27657</v>
      </c>
      <c r="E165">
        <v>0.50627999999999995</v>
      </c>
      <c r="F165">
        <v>9.0150560914884436E-4</v>
      </c>
    </row>
    <row r="166" spans="1:6" x14ac:dyDescent="0.25">
      <c r="A166" t="s">
        <v>240</v>
      </c>
      <c r="B166">
        <v>1916</v>
      </c>
      <c r="C166" t="s">
        <v>382</v>
      </c>
      <c r="D166">
        <v>77753</v>
      </c>
      <c r="E166">
        <v>1</v>
      </c>
      <c r="F166">
        <v>4.4766424247536431E-3</v>
      </c>
    </row>
    <row r="167" spans="1:6" x14ac:dyDescent="0.25">
      <c r="A167" t="s">
        <v>370</v>
      </c>
      <c r="B167">
        <v>995</v>
      </c>
      <c r="C167" t="s">
        <v>382</v>
      </c>
      <c r="D167">
        <v>83033</v>
      </c>
      <c r="E167">
        <v>1</v>
      </c>
      <c r="F167">
        <v>5.4054317201841055E-3</v>
      </c>
    </row>
    <row r="168" spans="1:6" x14ac:dyDescent="0.25">
      <c r="A168" t="s">
        <v>350</v>
      </c>
      <c r="B168">
        <v>1640</v>
      </c>
      <c r="C168" t="s">
        <v>381</v>
      </c>
      <c r="D168">
        <v>36141</v>
      </c>
      <c r="E168">
        <v>0.84563999999999995</v>
      </c>
      <c r="F168">
        <v>8.261439862094509E-4</v>
      </c>
    </row>
    <row r="169" spans="1:6" x14ac:dyDescent="0.25">
      <c r="A169" t="s">
        <v>157</v>
      </c>
      <c r="B169">
        <v>327</v>
      </c>
      <c r="C169" t="s">
        <v>381</v>
      </c>
      <c r="D169">
        <v>31467</v>
      </c>
      <c r="E169">
        <v>0.65868000000000004</v>
      </c>
      <c r="F169">
        <v>8.0803525409334936E-4</v>
      </c>
    </row>
    <row r="170" spans="1:6" x14ac:dyDescent="0.25">
      <c r="A170" t="s">
        <v>120</v>
      </c>
      <c r="B170">
        <v>1705</v>
      </c>
      <c r="C170" t="s">
        <v>382</v>
      </c>
      <c r="D170">
        <v>47220</v>
      </c>
      <c r="E170">
        <v>1</v>
      </c>
      <c r="F170">
        <v>1.2010750765625111E-3</v>
      </c>
    </row>
    <row r="171" spans="1:6" x14ac:dyDescent="0.25">
      <c r="A171" t="s">
        <v>241</v>
      </c>
      <c r="B171">
        <v>553</v>
      </c>
      <c r="C171" t="s">
        <v>381</v>
      </c>
      <c r="D171">
        <v>23390</v>
      </c>
      <c r="E171">
        <v>0.33560000000000001</v>
      </c>
      <c r="F171">
        <v>6.5502827914223438E-4</v>
      </c>
    </row>
    <row r="172" spans="1:6" x14ac:dyDescent="0.25">
      <c r="A172" t="s">
        <v>121</v>
      </c>
      <c r="B172">
        <v>262</v>
      </c>
      <c r="C172" t="s">
        <v>381</v>
      </c>
      <c r="D172">
        <v>34314</v>
      </c>
      <c r="E172">
        <v>0.77256000000000002</v>
      </c>
      <c r="F172">
        <v>1.0217314749628682E-3</v>
      </c>
    </row>
    <row r="173" spans="1:6" x14ac:dyDescent="0.25">
      <c r="A173" t="s">
        <v>312</v>
      </c>
      <c r="B173">
        <v>809</v>
      </c>
      <c r="C173" t="s">
        <v>381</v>
      </c>
      <c r="D173">
        <v>23797</v>
      </c>
      <c r="E173">
        <v>0.35187999999999997</v>
      </c>
      <c r="F173">
        <v>5.5741152780865481E-4</v>
      </c>
    </row>
    <row r="174" spans="1:6" x14ac:dyDescent="0.25">
      <c r="A174" t="s">
        <v>158</v>
      </c>
      <c r="B174">
        <v>331</v>
      </c>
      <c r="C174" t="s">
        <v>383</v>
      </c>
      <c r="D174">
        <v>14704</v>
      </c>
      <c r="E174">
        <v>0</v>
      </c>
      <c r="F174">
        <v>3.4102526844090222E-4</v>
      </c>
    </row>
    <row r="175" spans="1:6" x14ac:dyDescent="0.25">
      <c r="A175" t="s">
        <v>84</v>
      </c>
      <c r="B175">
        <v>168</v>
      </c>
      <c r="C175" t="s">
        <v>381</v>
      </c>
      <c r="D175">
        <v>23362</v>
      </c>
      <c r="E175">
        <v>0.33448</v>
      </c>
      <c r="F175">
        <v>6.7042902166440535E-4</v>
      </c>
    </row>
    <row r="176" spans="1:6" x14ac:dyDescent="0.25">
      <c r="A176" t="s">
        <v>122</v>
      </c>
      <c r="B176">
        <v>263</v>
      </c>
      <c r="C176" t="s">
        <v>381</v>
      </c>
      <c r="D176">
        <v>26020</v>
      </c>
      <c r="E176">
        <v>0.44080000000000008</v>
      </c>
      <c r="F176">
        <v>5.8699076030361815E-4</v>
      </c>
    </row>
    <row r="177" spans="1:6" x14ac:dyDescent="0.25">
      <c r="A177" t="s">
        <v>351</v>
      </c>
      <c r="B177">
        <v>1641</v>
      </c>
      <c r="C177" t="s">
        <v>381</v>
      </c>
      <c r="D177">
        <v>24305</v>
      </c>
      <c r="E177">
        <v>0.37219999999999998</v>
      </c>
      <c r="F177">
        <v>6.2218315057997557E-4</v>
      </c>
    </row>
    <row r="178" spans="1:6" x14ac:dyDescent="0.25">
      <c r="A178" t="s">
        <v>313</v>
      </c>
      <c r="B178">
        <v>1991</v>
      </c>
      <c r="C178" t="s">
        <v>382</v>
      </c>
      <c r="D178">
        <v>58934</v>
      </c>
      <c r="E178">
        <v>1</v>
      </c>
      <c r="F178">
        <v>1.9538758212573667E-3</v>
      </c>
    </row>
    <row r="179" spans="1:6" x14ac:dyDescent="0.25">
      <c r="A179" t="s">
        <v>242</v>
      </c>
      <c r="B179">
        <v>556</v>
      </c>
      <c r="C179" t="s">
        <v>381</v>
      </c>
      <c r="D179">
        <v>35303</v>
      </c>
      <c r="E179">
        <v>0.81211999999999995</v>
      </c>
      <c r="F179">
        <v>2.0708321846031308E-3</v>
      </c>
    </row>
    <row r="180" spans="1:6" x14ac:dyDescent="0.25">
      <c r="A180" t="s">
        <v>352</v>
      </c>
      <c r="B180">
        <v>935</v>
      </c>
      <c r="C180" t="s">
        <v>382</v>
      </c>
      <c r="D180">
        <v>122734</v>
      </c>
      <c r="E180">
        <v>1</v>
      </c>
      <c r="F180">
        <v>9.8229948900192179E-3</v>
      </c>
    </row>
    <row r="181" spans="1:6" x14ac:dyDescent="0.25">
      <c r="A181" t="s">
        <v>202</v>
      </c>
      <c r="B181">
        <v>420</v>
      </c>
      <c r="C181" t="s">
        <v>382</v>
      </c>
      <c r="D181">
        <v>46031</v>
      </c>
      <c r="E181">
        <v>1</v>
      </c>
      <c r="F181">
        <v>1.3090722616278727E-3</v>
      </c>
    </row>
    <row r="182" spans="1:6" x14ac:dyDescent="0.25">
      <c r="A182" t="s">
        <v>353</v>
      </c>
      <c r="B182">
        <v>938</v>
      </c>
      <c r="C182" t="s">
        <v>381</v>
      </c>
      <c r="D182">
        <v>18600</v>
      </c>
      <c r="E182">
        <v>0.14400000000000002</v>
      </c>
      <c r="F182">
        <v>4.9861166483637989E-4</v>
      </c>
    </row>
    <row r="183" spans="1:6" x14ac:dyDescent="0.25">
      <c r="A183" t="s">
        <v>314</v>
      </c>
      <c r="B183">
        <v>1948</v>
      </c>
      <c r="C183" t="s">
        <v>382</v>
      </c>
      <c r="D183">
        <v>83715</v>
      </c>
      <c r="E183">
        <v>1</v>
      </c>
      <c r="F183">
        <v>2.0914324731242302E-3</v>
      </c>
    </row>
    <row r="184" spans="1:6" x14ac:dyDescent="0.25">
      <c r="A184" t="s">
        <v>67</v>
      </c>
      <c r="B184">
        <v>119</v>
      </c>
      <c r="C184" t="s">
        <v>381</v>
      </c>
      <c r="D184">
        <v>35464</v>
      </c>
      <c r="E184">
        <v>0.81855999999999995</v>
      </c>
      <c r="F184">
        <v>1.8221254418747249E-3</v>
      </c>
    </row>
    <row r="185" spans="1:6" x14ac:dyDescent="0.25">
      <c r="A185" t="s">
        <v>389</v>
      </c>
      <c r="B185">
        <v>687</v>
      </c>
      <c r="C185" t="s">
        <v>382</v>
      </c>
      <c r="D185">
        <v>49956</v>
      </c>
      <c r="E185">
        <v>1</v>
      </c>
      <c r="F185">
        <v>3.2609712162367907E-3</v>
      </c>
    </row>
    <row r="186" spans="1:6" x14ac:dyDescent="0.25">
      <c r="A186" t="s">
        <v>243</v>
      </c>
      <c r="B186">
        <v>1842</v>
      </c>
      <c r="C186" t="s">
        <v>381</v>
      </c>
      <c r="D186">
        <v>19472</v>
      </c>
      <c r="E186">
        <v>0.17888000000000004</v>
      </c>
      <c r="F186">
        <v>4.0387208040846878E-4</v>
      </c>
    </row>
    <row r="187" spans="1:6" x14ac:dyDescent="0.25">
      <c r="A187" t="s">
        <v>68</v>
      </c>
      <c r="B187">
        <v>1731</v>
      </c>
      <c r="C187" t="s">
        <v>381</v>
      </c>
      <c r="D187">
        <v>33987</v>
      </c>
      <c r="E187">
        <v>0.75948000000000004</v>
      </c>
      <c r="F187">
        <v>1.1210023550390633E-3</v>
      </c>
    </row>
    <row r="188" spans="1:6" x14ac:dyDescent="0.25">
      <c r="A188" t="s">
        <v>35</v>
      </c>
      <c r="B188">
        <v>1952</v>
      </c>
      <c r="C188" t="s">
        <v>382</v>
      </c>
      <c r="D188">
        <v>61554</v>
      </c>
      <c r="E188">
        <v>1</v>
      </c>
      <c r="F188">
        <v>4.6042837637752607E-3</v>
      </c>
    </row>
    <row r="189" spans="1:6" x14ac:dyDescent="0.25">
      <c r="A189" t="s">
        <v>315</v>
      </c>
      <c r="B189">
        <v>1709</v>
      </c>
      <c r="C189" t="s">
        <v>381</v>
      </c>
      <c r="D189">
        <v>37711</v>
      </c>
      <c r="E189">
        <v>0.90844000000000003</v>
      </c>
      <c r="F189">
        <v>1.3540851173522185E-3</v>
      </c>
    </row>
    <row r="190" spans="1:6" x14ac:dyDescent="0.25">
      <c r="A190" t="s">
        <v>390</v>
      </c>
      <c r="B190">
        <v>1978</v>
      </c>
      <c r="C190" t="s">
        <v>382</v>
      </c>
      <c r="D190">
        <v>45158</v>
      </c>
      <c r="E190">
        <v>1</v>
      </c>
      <c r="F190">
        <v>8.6997672491942403E-4</v>
      </c>
    </row>
    <row r="191" spans="1:6" x14ac:dyDescent="0.25">
      <c r="A191" t="s">
        <v>123</v>
      </c>
      <c r="B191">
        <v>1955</v>
      </c>
      <c r="C191" t="s">
        <v>381</v>
      </c>
      <c r="D191">
        <v>36882</v>
      </c>
      <c r="E191">
        <v>0.87527999999999995</v>
      </c>
      <c r="F191">
        <v>1.1008845556503498E-3</v>
      </c>
    </row>
    <row r="192" spans="1:6" x14ac:dyDescent="0.25">
      <c r="A192" t="s">
        <v>159</v>
      </c>
      <c r="B192">
        <v>335</v>
      </c>
      <c r="C192" t="s">
        <v>383</v>
      </c>
      <c r="D192">
        <v>13929</v>
      </c>
      <c r="E192">
        <v>0</v>
      </c>
      <c r="F192">
        <v>2.612254942583734E-4</v>
      </c>
    </row>
    <row r="193" spans="1:6" x14ac:dyDescent="0.25">
      <c r="A193" t="s">
        <v>354</v>
      </c>
      <c r="B193">
        <v>944</v>
      </c>
      <c r="C193" t="s">
        <v>383</v>
      </c>
      <c r="D193">
        <v>8043</v>
      </c>
      <c r="E193">
        <v>0</v>
      </c>
      <c r="F193">
        <v>2.1810385952622326E-4</v>
      </c>
    </row>
    <row r="194" spans="1:6" x14ac:dyDescent="0.25">
      <c r="A194" t="s">
        <v>124</v>
      </c>
      <c r="B194">
        <v>1740</v>
      </c>
      <c r="C194" t="s">
        <v>381</v>
      </c>
      <c r="D194">
        <v>25448</v>
      </c>
      <c r="E194">
        <v>0.41792000000000007</v>
      </c>
      <c r="F194">
        <v>6.718007556496794E-4</v>
      </c>
    </row>
    <row r="195" spans="1:6" x14ac:dyDescent="0.25">
      <c r="A195" t="s">
        <v>355</v>
      </c>
      <c r="B195">
        <v>946</v>
      </c>
      <c r="C195" t="s">
        <v>381</v>
      </c>
      <c r="D195">
        <v>17499</v>
      </c>
      <c r="E195">
        <v>9.9960000000000049E-2</v>
      </c>
      <c r="F195">
        <v>3.1780200317744253E-4</v>
      </c>
    </row>
    <row r="196" spans="1:6" x14ac:dyDescent="0.25">
      <c r="A196" t="s">
        <v>160</v>
      </c>
      <c r="B196">
        <v>356</v>
      </c>
      <c r="C196" t="s">
        <v>382</v>
      </c>
      <c r="D196">
        <v>65426</v>
      </c>
      <c r="E196">
        <v>1</v>
      </c>
      <c r="F196">
        <v>3.0260705716036872E-3</v>
      </c>
    </row>
    <row r="197" spans="1:6" x14ac:dyDescent="0.25">
      <c r="A197" t="s">
        <v>245</v>
      </c>
      <c r="B197">
        <v>569</v>
      </c>
      <c r="C197" t="s">
        <v>381</v>
      </c>
      <c r="D197">
        <v>29463</v>
      </c>
      <c r="E197">
        <v>0.57852000000000003</v>
      </c>
      <c r="F197">
        <v>5.7856712497637343E-4</v>
      </c>
    </row>
    <row r="198" spans="1:6" x14ac:dyDescent="0.25">
      <c r="A198" t="s">
        <v>125</v>
      </c>
      <c r="B198">
        <v>267</v>
      </c>
      <c r="C198" t="s">
        <v>382</v>
      </c>
      <c r="D198">
        <v>44975</v>
      </c>
      <c r="E198">
        <v>1</v>
      </c>
      <c r="F198">
        <v>1.1958397923909417E-3</v>
      </c>
    </row>
    <row r="199" spans="1:6" x14ac:dyDescent="0.25">
      <c r="A199" t="s">
        <v>126</v>
      </c>
      <c r="B199">
        <v>268</v>
      </c>
      <c r="C199" t="s">
        <v>382</v>
      </c>
      <c r="D199">
        <v>182480</v>
      </c>
      <c r="E199">
        <v>1</v>
      </c>
      <c r="F199">
        <v>1.6713357855344908E-2</v>
      </c>
    </row>
    <row r="200" spans="1:6" x14ac:dyDescent="0.25">
      <c r="A200" t="s">
        <v>246</v>
      </c>
      <c r="B200">
        <v>1930</v>
      </c>
      <c r="C200" t="s">
        <v>382</v>
      </c>
      <c r="D200">
        <v>86833</v>
      </c>
      <c r="E200">
        <v>1</v>
      </c>
      <c r="F200">
        <v>5.7460991498927087E-3</v>
      </c>
    </row>
    <row r="201" spans="1:6" x14ac:dyDescent="0.25">
      <c r="A201" t="s">
        <v>49</v>
      </c>
      <c r="B201">
        <v>1970</v>
      </c>
      <c r="C201" t="s">
        <v>382</v>
      </c>
      <c r="D201">
        <v>45812</v>
      </c>
      <c r="E201">
        <v>1</v>
      </c>
      <c r="F201">
        <v>2.2566911874706275E-3</v>
      </c>
    </row>
    <row r="202" spans="1:6" x14ac:dyDescent="0.25">
      <c r="A202" t="s">
        <v>273</v>
      </c>
      <c r="B202">
        <v>1695</v>
      </c>
      <c r="C202" t="s">
        <v>383</v>
      </c>
      <c r="D202">
        <v>7857</v>
      </c>
      <c r="E202">
        <v>0</v>
      </c>
      <c r="F202">
        <v>2.5659055101329761E-4</v>
      </c>
    </row>
    <row r="203" spans="1:6" x14ac:dyDescent="0.25">
      <c r="A203" t="s">
        <v>69</v>
      </c>
      <c r="B203">
        <v>1699</v>
      </c>
      <c r="C203" t="s">
        <v>381</v>
      </c>
      <c r="D203">
        <v>31591</v>
      </c>
      <c r="E203">
        <v>0.66364000000000001</v>
      </c>
      <c r="F203">
        <v>1.1373482832785346E-3</v>
      </c>
    </row>
    <row r="204" spans="1:6" x14ac:dyDescent="0.25">
      <c r="A204" t="s">
        <v>371</v>
      </c>
      <c r="B204">
        <v>171</v>
      </c>
      <c r="C204" t="s">
        <v>382</v>
      </c>
      <c r="D204">
        <v>49729</v>
      </c>
      <c r="E204">
        <v>1</v>
      </c>
      <c r="F204">
        <v>2.0156321788590234E-3</v>
      </c>
    </row>
    <row r="205" spans="1:6" x14ac:dyDescent="0.25">
      <c r="A205" t="s">
        <v>247</v>
      </c>
      <c r="B205">
        <v>575</v>
      </c>
      <c r="C205" t="s">
        <v>382</v>
      </c>
      <c r="D205">
        <v>45179</v>
      </c>
      <c r="E205">
        <v>1</v>
      </c>
      <c r="F205">
        <v>1.4005022027025343E-3</v>
      </c>
    </row>
    <row r="206" spans="1:6" x14ac:dyDescent="0.25">
      <c r="A206" t="s">
        <v>316</v>
      </c>
      <c r="B206">
        <v>820</v>
      </c>
      <c r="C206" t="s">
        <v>381</v>
      </c>
      <c r="D206">
        <v>24015</v>
      </c>
      <c r="E206">
        <v>0.36060000000000003</v>
      </c>
      <c r="F206">
        <v>6.5436277367927746E-4</v>
      </c>
    </row>
    <row r="207" spans="1:6" x14ac:dyDescent="0.25">
      <c r="A207" t="s">
        <v>127</v>
      </c>
      <c r="B207">
        <v>302</v>
      </c>
      <c r="C207" t="s">
        <v>381</v>
      </c>
      <c r="D207">
        <v>28731</v>
      </c>
      <c r="E207">
        <v>0.54923999999999995</v>
      </c>
      <c r="F207">
        <v>7.228931485782806E-4</v>
      </c>
    </row>
    <row r="208" spans="1:6" x14ac:dyDescent="0.25">
      <c r="A208" t="s">
        <v>248</v>
      </c>
      <c r="B208">
        <v>579</v>
      </c>
      <c r="C208" t="s">
        <v>381</v>
      </c>
      <c r="D208">
        <v>25746</v>
      </c>
      <c r="E208">
        <v>0.42984</v>
      </c>
      <c r="F208">
        <v>7.9828803093179843E-4</v>
      </c>
    </row>
    <row r="209" spans="1:6" x14ac:dyDescent="0.25">
      <c r="A209" t="s">
        <v>317</v>
      </c>
      <c r="B209">
        <v>823</v>
      </c>
      <c r="C209" t="s">
        <v>381</v>
      </c>
      <c r="D209">
        <v>19217</v>
      </c>
      <c r="E209">
        <v>0.16867999999999994</v>
      </c>
      <c r="F209">
        <v>3.2855420390878249E-4</v>
      </c>
    </row>
    <row r="210" spans="1:6" x14ac:dyDescent="0.25">
      <c r="A210" t="s">
        <v>318</v>
      </c>
      <c r="B210">
        <v>824</v>
      </c>
      <c r="C210" t="s">
        <v>381</v>
      </c>
      <c r="D210">
        <v>32941</v>
      </c>
      <c r="E210">
        <v>0.71763999999999994</v>
      </c>
      <c r="F210">
        <v>7.8784838007711167E-4</v>
      </c>
    </row>
    <row r="211" spans="1:6" x14ac:dyDescent="0.25">
      <c r="A211" t="s">
        <v>36</v>
      </c>
      <c r="B211">
        <v>1895</v>
      </c>
      <c r="C211" t="s">
        <v>381</v>
      </c>
      <c r="D211">
        <v>39044</v>
      </c>
      <c r="E211">
        <v>0.96175999999999995</v>
      </c>
      <c r="F211">
        <v>2.7426934444407464E-3</v>
      </c>
    </row>
    <row r="212" spans="1:6" x14ac:dyDescent="0.25">
      <c r="A212" t="s">
        <v>128</v>
      </c>
      <c r="B212">
        <v>269</v>
      </c>
      <c r="C212" t="s">
        <v>381</v>
      </c>
      <c r="D212">
        <v>24264</v>
      </c>
      <c r="E212">
        <v>0.37056</v>
      </c>
      <c r="F212">
        <v>6.6294220342826959E-4</v>
      </c>
    </row>
    <row r="213" spans="1:6" x14ac:dyDescent="0.25">
      <c r="A213" t="s">
        <v>85</v>
      </c>
      <c r="B213">
        <v>173</v>
      </c>
      <c r="C213" t="s">
        <v>381</v>
      </c>
      <c r="D213">
        <v>31925</v>
      </c>
      <c r="E213">
        <v>0.67700000000000005</v>
      </c>
      <c r="F213">
        <v>1.2858867470375466E-3</v>
      </c>
    </row>
    <row r="214" spans="1:6" x14ac:dyDescent="0.25">
      <c r="A214" t="s">
        <v>86</v>
      </c>
      <c r="B214">
        <v>1773</v>
      </c>
      <c r="C214" t="s">
        <v>381</v>
      </c>
      <c r="D214">
        <v>18682</v>
      </c>
      <c r="E214">
        <v>0.14727999999999997</v>
      </c>
      <c r="F214">
        <v>4.6917541696657401E-4</v>
      </c>
    </row>
    <row r="215" spans="1:6" x14ac:dyDescent="0.25">
      <c r="A215" t="s">
        <v>87</v>
      </c>
      <c r="B215">
        <v>175</v>
      </c>
      <c r="C215" t="s">
        <v>381</v>
      </c>
      <c r="D215">
        <v>18955</v>
      </c>
      <c r="E215">
        <v>0.15820000000000001</v>
      </c>
      <c r="F215">
        <v>5.6992796589992842E-4</v>
      </c>
    </row>
    <row r="216" spans="1:6" x14ac:dyDescent="0.25">
      <c r="A216" t="s">
        <v>129</v>
      </c>
      <c r="B216">
        <v>1586</v>
      </c>
      <c r="C216" t="s">
        <v>381</v>
      </c>
      <c r="D216">
        <v>29846</v>
      </c>
      <c r="E216">
        <v>0.59384000000000003</v>
      </c>
      <c r="F216">
        <v>6.6563146011094562E-4</v>
      </c>
    </row>
    <row r="217" spans="1:6" x14ac:dyDescent="0.25">
      <c r="A217" t="s">
        <v>319</v>
      </c>
      <c r="B217">
        <v>826</v>
      </c>
      <c r="C217" t="s">
        <v>382</v>
      </c>
      <c r="D217">
        <v>57425</v>
      </c>
      <c r="E217">
        <v>1</v>
      </c>
      <c r="F217">
        <v>2.4543788609265134E-3</v>
      </c>
    </row>
    <row r="218" spans="1:6" x14ac:dyDescent="0.25">
      <c r="A218" t="s">
        <v>50</v>
      </c>
      <c r="B218">
        <v>85</v>
      </c>
      <c r="C218" t="s">
        <v>381</v>
      </c>
      <c r="D218">
        <v>25837</v>
      </c>
      <c r="E218">
        <v>0.43347999999999998</v>
      </c>
      <c r="F218">
        <v>1.3299395710139113E-3</v>
      </c>
    </row>
    <row r="219" spans="1:6" x14ac:dyDescent="0.25">
      <c r="A219" t="s">
        <v>203</v>
      </c>
      <c r="B219">
        <v>431</v>
      </c>
      <c r="C219" t="s">
        <v>383</v>
      </c>
      <c r="D219">
        <v>9720</v>
      </c>
      <c r="E219">
        <v>0</v>
      </c>
      <c r="F219">
        <v>2.3113833163883522E-4</v>
      </c>
    </row>
    <row r="220" spans="1:6" x14ac:dyDescent="0.25">
      <c r="A220" t="s">
        <v>204</v>
      </c>
      <c r="B220">
        <v>432</v>
      </c>
      <c r="C220" t="s">
        <v>383</v>
      </c>
      <c r="D220">
        <v>12180</v>
      </c>
      <c r="E220">
        <v>0</v>
      </c>
      <c r="F220">
        <v>2.3229270849870303E-4</v>
      </c>
    </row>
    <row r="221" spans="1:6" x14ac:dyDescent="0.25">
      <c r="A221" t="s">
        <v>51</v>
      </c>
      <c r="B221">
        <v>86</v>
      </c>
      <c r="C221" t="s">
        <v>381</v>
      </c>
      <c r="D221">
        <v>30054</v>
      </c>
      <c r="E221">
        <v>0.60216000000000003</v>
      </c>
      <c r="F221">
        <v>1.1597998760488038E-3</v>
      </c>
    </row>
    <row r="222" spans="1:6" x14ac:dyDescent="0.25">
      <c r="A222" t="s">
        <v>320</v>
      </c>
      <c r="B222">
        <v>828</v>
      </c>
      <c r="C222" t="s">
        <v>382</v>
      </c>
      <c r="D222">
        <v>94437</v>
      </c>
      <c r="E222">
        <v>1</v>
      </c>
      <c r="F222">
        <v>4.0173902333255187E-3</v>
      </c>
    </row>
    <row r="223" spans="1:6" x14ac:dyDescent="0.25">
      <c r="A223" t="s">
        <v>130</v>
      </c>
      <c r="B223">
        <v>1509</v>
      </c>
      <c r="C223" t="s">
        <v>381</v>
      </c>
      <c r="D223">
        <v>39613</v>
      </c>
      <c r="E223">
        <v>0.98451999999999995</v>
      </c>
      <c r="F223">
        <v>1.3985146406467017E-3</v>
      </c>
    </row>
    <row r="224" spans="1:6" x14ac:dyDescent="0.25">
      <c r="A224" t="s">
        <v>205</v>
      </c>
      <c r="B224">
        <v>437</v>
      </c>
      <c r="C224" t="s">
        <v>383</v>
      </c>
      <c r="D224">
        <v>14276</v>
      </c>
      <c r="E224">
        <v>0</v>
      </c>
      <c r="F224">
        <v>4.6913772528220908E-4</v>
      </c>
    </row>
    <row r="225" spans="1:6" x14ac:dyDescent="0.25">
      <c r="A225" t="s">
        <v>161</v>
      </c>
      <c r="B225">
        <v>589</v>
      </c>
      <c r="C225" t="s">
        <v>383</v>
      </c>
      <c r="D225">
        <v>10232</v>
      </c>
      <c r="E225">
        <v>0</v>
      </c>
      <c r="F225">
        <v>2.1908989664242061E-4</v>
      </c>
    </row>
    <row r="226" spans="1:6" x14ac:dyDescent="0.25">
      <c r="A226" t="s">
        <v>131</v>
      </c>
      <c r="B226">
        <v>1734</v>
      </c>
      <c r="C226" t="s">
        <v>382</v>
      </c>
      <c r="D226">
        <v>48707</v>
      </c>
      <c r="E226">
        <v>1</v>
      </c>
      <c r="F226">
        <v>1.4632515259095672E-3</v>
      </c>
    </row>
    <row r="227" spans="1:6" x14ac:dyDescent="0.25">
      <c r="A227" t="s">
        <v>249</v>
      </c>
      <c r="B227">
        <v>590</v>
      </c>
      <c r="C227" t="s">
        <v>381</v>
      </c>
      <c r="D227">
        <v>32277</v>
      </c>
      <c r="E227">
        <v>0.69108000000000003</v>
      </c>
      <c r="F227">
        <v>1.2072709561937382E-3</v>
      </c>
    </row>
    <row r="228" spans="1:6" x14ac:dyDescent="0.25">
      <c r="A228" t="s">
        <v>356</v>
      </c>
      <c r="B228">
        <v>1894</v>
      </c>
      <c r="C228" t="s">
        <v>382</v>
      </c>
      <c r="D228">
        <v>45276</v>
      </c>
      <c r="E228">
        <v>1</v>
      </c>
      <c r="F228">
        <v>1.2989988194378385E-3</v>
      </c>
    </row>
    <row r="229" spans="1:6" x14ac:dyDescent="0.25">
      <c r="A229" t="s">
        <v>37</v>
      </c>
      <c r="B229">
        <v>765</v>
      </c>
      <c r="C229" t="s">
        <v>383</v>
      </c>
      <c r="D229">
        <v>12404</v>
      </c>
      <c r="E229">
        <v>0</v>
      </c>
      <c r="F229">
        <v>9.3807541203962553E-4</v>
      </c>
    </row>
    <row r="230" spans="1:6" x14ac:dyDescent="0.25">
      <c r="A230" t="s">
        <v>250</v>
      </c>
      <c r="B230">
        <v>1926</v>
      </c>
      <c r="C230" t="s">
        <v>382</v>
      </c>
      <c r="D230">
        <v>57672</v>
      </c>
      <c r="E230">
        <v>1</v>
      </c>
      <c r="F230">
        <v>1.2006667039069665E-3</v>
      </c>
    </row>
    <row r="231" spans="1:6" x14ac:dyDescent="0.25">
      <c r="A231" t="s">
        <v>206</v>
      </c>
      <c r="B231">
        <v>439</v>
      </c>
      <c r="C231" t="s">
        <v>382</v>
      </c>
      <c r="D231">
        <v>93992</v>
      </c>
      <c r="E231">
        <v>1</v>
      </c>
      <c r="F231">
        <v>4.0346282683024334E-3</v>
      </c>
    </row>
    <row r="232" spans="1:6" x14ac:dyDescent="0.25">
      <c r="A232" t="s">
        <v>132</v>
      </c>
      <c r="B232">
        <v>273</v>
      </c>
      <c r="C232" t="s">
        <v>381</v>
      </c>
      <c r="D232">
        <v>24904</v>
      </c>
      <c r="E232">
        <v>0.39616000000000007</v>
      </c>
      <c r="F232">
        <v>4.6646417371724901E-4</v>
      </c>
    </row>
    <row r="233" spans="1:6" x14ac:dyDescent="0.25">
      <c r="A233" t="s">
        <v>88</v>
      </c>
      <c r="B233">
        <v>177</v>
      </c>
      <c r="C233" t="s">
        <v>381</v>
      </c>
      <c r="D233">
        <v>38500</v>
      </c>
      <c r="E233">
        <v>0.94</v>
      </c>
      <c r="F233">
        <v>1.0565140824568755E-3</v>
      </c>
    </row>
    <row r="234" spans="1:6" x14ac:dyDescent="0.25">
      <c r="A234" t="s">
        <v>274</v>
      </c>
      <c r="B234">
        <v>703</v>
      </c>
      <c r="C234" t="s">
        <v>381</v>
      </c>
      <c r="D234">
        <v>23255</v>
      </c>
      <c r="E234">
        <v>0.33020000000000005</v>
      </c>
      <c r="F234">
        <v>6.0022371019268015E-4</v>
      </c>
    </row>
    <row r="235" spans="1:6" x14ac:dyDescent="0.25">
      <c r="A235" t="s">
        <v>133</v>
      </c>
      <c r="B235">
        <v>274</v>
      </c>
      <c r="C235" t="s">
        <v>381</v>
      </c>
      <c r="D235">
        <v>31461</v>
      </c>
      <c r="E235">
        <v>0.65844000000000003</v>
      </c>
      <c r="F235">
        <v>1.3022548009781819E-3</v>
      </c>
    </row>
    <row r="236" spans="1:6" x14ac:dyDescent="0.25">
      <c r="A236" t="s">
        <v>162</v>
      </c>
      <c r="B236">
        <v>339</v>
      </c>
      <c r="C236" t="s">
        <v>383</v>
      </c>
      <c r="D236">
        <v>5747</v>
      </c>
      <c r="E236">
        <v>0</v>
      </c>
      <c r="F236">
        <v>8.8077475495889981E-5</v>
      </c>
    </row>
    <row r="237" spans="1:6" x14ac:dyDescent="0.25">
      <c r="A237" t="s">
        <v>321</v>
      </c>
      <c r="B237">
        <v>1667</v>
      </c>
      <c r="C237" t="s">
        <v>383</v>
      </c>
      <c r="D237">
        <v>13542</v>
      </c>
      <c r="E237">
        <v>0</v>
      </c>
      <c r="F237">
        <v>1.9840466817001401E-4</v>
      </c>
    </row>
    <row r="238" spans="1:6" x14ac:dyDescent="0.25">
      <c r="A238" t="s">
        <v>134</v>
      </c>
      <c r="B238">
        <v>275</v>
      </c>
      <c r="C238" t="s">
        <v>382</v>
      </c>
      <c r="D238">
        <v>43570</v>
      </c>
      <c r="E238">
        <v>1</v>
      </c>
      <c r="F238">
        <v>2.2148806836494958E-3</v>
      </c>
    </row>
    <row r="239" spans="1:6" x14ac:dyDescent="0.25">
      <c r="A239" t="s">
        <v>163</v>
      </c>
      <c r="B239">
        <v>340</v>
      </c>
      <c r="C239" t="s">
        <v>381</v>
      </c>
      <c r="D239">
        <v>20329</v>
      </c>
      <c r="E239">
        <v>0.21316000000000002</v>
      </c>
      <c r="F239">
        <v>5.9910001273654932E-4</v>
      </c>
    </row>
    <row r="240" spans="1:6" x14ac:dyDescent="0.25">
      <c r="A240" t="s">
        <v>251</v>
      </c>
      <c r="B240">
        <v>597</v>
      </c>
      <c r="C240" t="s">
        <v>382</v>
      </c>
      <c r="D240">
        <v>47477</v>
      </c>
      <c r="E240">
        <v>1</v>
      </c>
      <c r="F240">
        <v>2.3175448883003148E-3</v>
      </c>
    </row>
    <row r="241" spans="1:6" x14ac:dyDescent="0.25">
      <c r="A241" t="s">
        <v>89</v>
      </c>
      <c r="B241">
        <v>1742</v>
      </c>
      <c r="C241" t="s">
        <v>381</v>
      </c>
      <c r="D241">
        <v>38493</v>
      </c>
      <c r="E241">
        <v>0.93972</v>
      </c>
      <c r="F241">
        <v>9.8829104402640348E-4</v>
      </c>
    </row>
    <row r="242" spans="1:6" x14ac:dyDescent="0.25">
      <c r="A242" t="s">
        <v>391</v>
      </c>
      <c r="B242">
        <v>603</v>
      </c>
      <c r="C242" t="s">
        <v>382</v>
      </c>
      <c r="D242">
        <v>57997</v>
      </c>
      <c r="E242">
        <v>1</v>
      </c>
      <c r="F242">
        <v>3.841584173146697E-3</v>
      </c>
    </row>
    <row r="243" spans="1:6" x14ac:dyDescent="0.25">
      <c r="A243" t="s">
        <v>357</v>
      </c>
      <c r="B243">
        <v>1669</v>
      </c>
      <c r="C243" t="s">
        <v>381</v>
      </c>
      <c r="D243">
        <v>20702</v>
      </c>
      <c r="E243">
        <v>0.22808000000000006</v>
      </c>
      <c r="F243">
        <v>6.1894280116069858E-4</v>
      </c>
    </row>
    <row r="244" spans="1:6" x14ac:dyDescent="0.25">
      <c r="A244" t="s">
        <v>358</v>
      </c>
      <c r="B244">
        <v>957</v>
      </c>
      <c r="C244" t="s">
        <v>382</v>
      </c>
      <c r="D244">
        <v>59981</v>
      </c>
      <c r="E244">
        <v>1</v>
      </c>
      <c r="F244">
        <v>4.4491423272742473E-3</v>
      </c>
    </row>
    <row r="245" spans="1:6" x14ac:dyDescent="0.25">
      <c r="A245" t="s">
        <v>322</v>
      </c>
      <c r="B245">
        <v>1674</v>
      </c>
      <c r="C245" t="s">
        <v>382</v>
      </c>
      <c r="D245">
        <v>77613</v>
      </c>
      <c r="E245">
        <v>1</v>
      </c>
      <c r="F245">
        <v>5.1502957695488414E-3</v>
      </c>
    </row>
    <row r="246" spans="1:6" x14ac:dyDescent="0.25">
      <c r="A246" t="s">
        <v>253</v>
      </c>
      <c r="B246">
        <v>599</v>
      </c>
      <c r="C246" t="s">
        <v>382</v>
      </c>
      <c r="D246">
        <v>663900</v>
      </c>
      <c r="E246">
        <v>1</v>
      </c>
      <c r="F246">
        <v>8.162522825696783E-2</v>
      </c>
    </row>
    <row r="247" spans="1:6" x14ac:dyDescent="0.25">
      <c r="A247" t="s">
        <v>135</v>
      </c>
      <c r="B247">
        <v>277</v>
      </c>
      <c r="C247" t="s">
        <v>383</v>
      </c>
      <c r="D247">
        <v>1754</v>
      </c>
      <c r="E247">
        <v>0</v>
      </c>
      <c r="F247">
        <v>1.3797681065448325E-5</v>
      </c>
    </row>
    <row r="248" spans="1:6" x14ac:dyDescent="0.25">
      <c r="A248" t="s">
        <v>323</v>
      </c>
      <c r="B248">
        <v>840</v>
      </c>
      <c r="C248" t="s">
        <v>381</v>
      </c>
      <c r="D248">
        <v>23636</v>
      </c>
      <c r="E248">
        <v>0.34543999999999997</v>
      </c>
      <c r="F248">
        <v>8.0875224562054673E-4</v>
      </c>
    </row>
    <row r="249" spans="1:6" x14ac:dyDescent="0.25">
      <c r="A249" t="s">
        <v>207</v>
      </c>
      <c r="B249">
        <v>441</v>
      </c>
      <c r="C249" t="s">
        <v>382</v>
      </c>
      <c r="D249">
        <v>47450</v>
      </c>
      <c r="E249">
        <v>1</v>
      </c>
      <c r="F249">
        <v>1.3921440747248124E-3</v>
      </c>
    </row>
    <row r="250" spans="1:6" x14ac:dyDescent="0.25">
      <c r="A250" t="s">
        <v>136</v>
      </c>
      <c r="B250">
        <v>279</v>
      </c>
      <c r="C250" t="s">
        <v>383</v>
      </c>
      <c r="D250">
        <v>10386</v>
      </c>
      <c r="E250">
        <v>0</v>
      </c>
      <c r="F250">
        <v>1.5892871677643537E-4</v>
      </c>
    </row>
    <row r="251" spans="1:6" x14ac:dyDescent="0.25">
      <c r="A251" t="s">
        <v>254</v>
      </c>
      <c r="B251">
        <v>606</v>
      </c>
      <c r="C251" t="s">
        <v>382</v>
      </c>
      <c r="D251">
        <v>80628</v>
      </c>
      <c r="E251">
        <v>1</v>
      </c>
      <c r="F251">
        <v>6.2361661766670981E-3</v>
      </c>
    </row>
    <row r="252" spans="1:6" x14ac:dyDescent="0.25">
      <c r="A252" t="s">
        <v>52</v>
      </c>
      <c r="B252">
        <v>88</v>
      </c>
      <c r="C252" t="s">
        <v>383</v>
      </c>
      <c r="D252">
        <v>982</v>
      </c>
      <c r="E252">
        <v>0</v>
      </c>
      <c r="F252">
        <v>1.668204190768201E-5</v>
      </c>
    </row>
    <row r="253" spans="1:6" x14ac:dyDescent="0.25">
      <c r="A253" t="s">
        <v>275</v>
      </c>
      <c r="B253">
        <v>1676</v>
      </c>
      <c r="C253" t="s">
        <v>381</v>
      </c>
      <c r="D253">
        <v>34561</v>
      </c>
      <c r="E253">
        <v>0.78244000000000002</v>
      </c>
      <c r="F253">
        <v>1.0566395315792937E-3</v>
      </c>
    </row>
    <row r="254" spans="1:6" x14ac:dyDescent="0.25">
      <c r="A254" t="s">
        <v>392</v>
      </c>
      <c r="B254">
        <v>518</v>
      </c>
      <c r="C254" t="s">
        <v>382</v>
      </c>
      <c r="D254">
        <v>562839</v>
      </c>
      <c r="E254">
        <v>1</v>
      </c>
      <c r="F254">
        <v>5.7794804439792367E-2</v>
      </c>
    </row>
    <row r="255" spans="1:6" x14ac:dyDescent="0.25">
      <c r="A255" t="s">
        <v>324</v>
      </c>
      <c r="B255">
        <v>796</v>
      </c>
      <c r="C255" t="s">
        <v>382</v>
      </c>
      <c r="D255">
        <v>158753</v>
      </c>
      <c r="E255">
        <v>1</v>
      </c>
      <c r="F255">
        <v>8.8787769186444258E-3</v>
      </c>
    </row>
    <row r="256" spans="1:6" x14ac:dyDescent="0.25">
      <c r="A256" t="s">
        <v>359</v>
      </c>
      <c r="B256">
        <v>965</v>
      </c>
      <c r="C256" t="s">
        <v>383</v>
      </c>
      <c r="D256">
        <v>10396</v>
      </c>
      <c r="E256">
        <v>0</v>
      </c>
      <c r="F256">
        <v>2.8900612653192813E-4</v>
      </c>
    </row>
    <row r="257" spans="1:6" x14ac:dyDescent="0.25">
      <c r="A257" t="s">
        <v>325</v>
      </c>
      <c r="B257">
        <v>845</v>
      </c>
      <c r="C257" t="s">
        <v>381</v>
      </c>
      <c r="D257">
        <v>30135</v>
      </c>
      <c r="E257">
        <v>0.60540000000000005</v>
      </c>
      <c r="F257">
        <v>5.3285698547323758E-4</v>
      </c>
    </row>
    <row r="258" spans="1:6" x14ac:dyDescent="0.25">
      <c r="A258" t="s">
        <v>360</v>
      </c>
      <c r="B258">
        <v>1883</v>
      </c>
      <c r="C258" t="s">
        <v>382</v>
      </c>
      <c r="D258">
        <v>92234</v>
      </c>
      <c r="E258">
        <v>1</v>
      </c>
      <c r="F258">
        <v>6.4625664432622987E-3</v>
      </c>
    </row>
    <row r="259" spans="1:6" x14ac:dyDescent="0.25">
      <c r="A259" t="s">
        <v>256</v>
      </c>
      <c r="B259">
        <v>610</v>
      </c>
      <c r="C259" t="s">
        <v>381</v>
      </c>
      <c r="D259">
        <v>26184</v>
      </c>
      <c r="E259">
        <v>0.44735999999999998</v>
      </c>
      <c r="F259">
        <v>1.2409753619405295E-3</v>
      </c>
    </row>
    <row r="260" spans="1:6" x14ac:dyDescent="0.25">
      <c r="A260" t="s">
        <v>276</v>
      </c>
      <c r="B260">
        <v>1714</v>
      </c>
      <c r="C260" t="s">
        <v>381</v>
      </c>
      <c r="D260">
        <v>23243</v>
      </c>
      <c r="E260">
        <v>0.32972000000000001</v>
      </c>
      <c r="F260">
        <v>6.809858478924141E-4</v>
      </c>
    </row>
    <row r="261" spans="1:6" x14ac:dyDescent="0.25">
      <c r="A261" t="s">
        <v>53</v>
      </c>
      <c r="B261">
        <v>90</v>
      </c>
      <c r="C261" t="s">
        <v>382</v>
      </c>
      <c r="D261">
        <v>56098</v>
      </c>
      <c r="E261">
        <v>1</v>
      </c>
      <c r="F261">
        <v>4.0385173085887224E-3</v>
      </c>
    </row>
    <row r="262" spans="1:6" x14ac:dyDescent="0.25">
      <c r="A262" t="s">
        <v>164</v>
      </c>
      <c r="B262">
        <v>342</v>
      </c>
      <c r="C262" t="s">
        <v>382</v>
      </c>
      <c r="D262">
        <v>47439</v>
      </c>
      <c r="E262">
        <v>1</v>
      </c>
      <c r="F262">
        <v>1.7680817711538956E-3</v>
      </c>
    </row>
    <row r="263" spans="1:6" x14ac:dyDescent="0.25">
      <c r="A263" t="s">
        <v>326</v>
      </c>
      <c r="B263">
        <v>847</v>
      </c>
      <c r="C263" t="s">
        <v>381</v>
      </c>
      <c r="D263">
        <v>20061</v>
      </c>
      <c r="E263">
        <v>0.20243999999999995</v>
      </c>
      <c r="F263">
        <v>4.6191827693923437E-4</v>
      </c>
    </row>
    <row r="264" spans="1:6" x14ac:dyDescent="0.25">
      <c r="A264" t="s">
        <v>327</v>
      </c>
      <c r="B264">
        <v>848</v>
      </c>
      <c r="C264" t="s">
        <v>381</v>
      </c>
      <c r="D264">
        <v>18010</v>
      </c>
      <c r="E264">
        <v>0.12039999999999995</v>
      </c>
      <c r="F264">
        <v>4.2440536653187716E-4</v>
      </c>
    </row>
    <row r="265" spans="1:6" x14ac:dyDescent="0.25">
      <c r="A265" t="s">
        <v>38</v>
      </c>
      <c r="B265">
        <v>37</v>
      </c>
      <c r="C265" t="s">
        <v>381</v>
      </c>
      <c r="D265">
        <v>32135</v>
      </c>
      <c r="E265">
        <v>0.68540000000000001</v>
      </c>
      <c r="F265">
        <v>2.0567727740812662E-3</v>
      </c>
    </row>
    <row r="266" spans="1:6" x14ac:dyDescent="0.25">
      <c r="A266" t="s">
        <v>90</v>
      </c>
      <c r="B266">
        <v>180</v>
      </c>
      <c r="C266" t="s">
        <v>381</v>
      </c>
      <c r="D266">
        <v>17628</v>
      </c>
      <c r="E266">
        <v>0.10511999999999999</v>
      </c>
      <c r="F266">
        <v>3.0170312024209353E-4</v>
      </c>
    </row>
    <row r="267" spans="1:6" x14ac:dyDescent="0.25">
      <c r="A267" t="s">
        <v>208</v>
      </c>
      <c r="B267">
        <v>532</v>
      </c>
      <c r="C267" t="s">
        <v>381</v>
      </c>
      <c r="D267">
        <v>22138</v>
      </c>
      <c r="E267">
        <v>0.28552</v>
      </c>
      <c r="F267">
        <v>5.7239624009673337E-4</v>
      </c>
    </row>
    <row r="268" spans="1:6" x14ac:dyDescent="0.25">
      <c r="A268" t="s">
        <v>328</v>
      </c>
      <c r="B268">
        <v>851</v>
      </c>
      <c r="C268" t="s">
        <v>381</v>
      </c>
      <c r="D268">
        <v>24610</v>
      </c>
      <c r="E268">
        <v>0.38440000000000007</v>
      </c>
      <c r="F268">
        <v>8.5934056006532603E-4</v>
      </c>
    </row>
    <row r="269" spans="1:6" x14ac:dyDescent="0.25">
      <c r="A269" t="s">
        <v>91</v>
      </c>
      <c r="B269">
        <v>1708</v>
      </c>
      <c r="C269" t="s">
        <v>382</v>
      </c>
      <c r="D269">
        <v>45376</v>
      </c>
      <c r="E269">
        <v>1</v>
      </c>
      <c r="F269">
        <v>1.8300918741165821E-3</v>
      </c>
    </row>
    <row r="270" spans="1:6" x14ac:dyDescent="0.25">
      <c r="A270" t="s">
        <v>393</v>
      </c>
      <c r="B270">
        <v>971</v>
      </c>
      <c r="C270" t="s">
        <v>381</v>
      </c>
      <c r="D270">
        <v>24772</v>
      </c>
      <c r="E270">
        <v>0.39088000000000001</v>
      </c>
      <c r="F270">
        <v>7.3678206090191985E-4</v>
      </c>
    </row>
    <row r="271" spans="1:6" x14ac:dyDescent="0.25">
      <c r="A271" t="s">
        <v>165</v>
      </c>
      <c r="B271">
        <v>1904</v>
      </c>
      <c r="C271" t="s">
        <v>382</v>
      </c>
      <c r="D271">
        <v>65771</v>
      </c>
      <c r="E271">
        <v>1</v>
      </c>
      <c r="F271">
        <v>1.7873691847736686E-3</v>
      </c>
    </row>
    <row r="272" spans="1:6" x14ac:dyDescent="0.25">
      <c r="A272" t="s">
        <v>54</v>
      </c>
      <c r="B272">
        <v>1900</v>
      </c>
      <c r="C272" t="s">
        <v>382</v>
      </c>
      <c r="D272">
        <v>90883</v>
      </c>
      <c r="E272">
        <v>1</v>
      </c>
      <c r="F272">
        <v>4.8246622777323488E-3</v>
      </c>
    </row>
    <row r="273" spans="1:6" x14ac:dyDescent="0.25">
      <c r="A273" t="s">
        <v>277</v>
      </c>
      <c r="B273">
        <v>715</v>
      </c>
      <c r="C273" t="s">
        <v>382</v>
      </c>
      <c r="D273">
        <v>54993</v>
      </c>
      <c r="E273">
        <v>1</v>
      </c>
      <c r="F273">
        <v>2.7297191463991678E-3</v>
      </c>
    </row>
    <row r="274" spans="1:6" x14ac:dyDescent="0.25">
      <c r="A274" t="s">
        <v>55</v>
      </c>
      <c r="B274">
        <v>93</v>
      </c>
      <c r="C274" t="s">
        <v>383</v>
      </c>
      <c r="D274">
        <v>4928</v>
      </c>
      <c r="E274">
        <v>0</v>
      </c>
      <c r="F274">
        <v>4.3377825758271238E-5</v>
      </c>
    </row>
    <row r="275" spans="1:6" x14ac:dyDescent="0.25">
      <c r="A275" t="s">
        <v>209</v>
      </c>
      <c r="B275">
        <v>448</v>
      </c>
      <c r="C275" t="s">
        <v>383</v>
      </c>
      <c r="D275">
        <v>13979</v>
      </c>
      <c r="E275">
        <v>0</v>
      </c>
      <c r="F275">
        <v>3.0212021561922681E-4</v>
      </c>
    </row>
    <row r="276" spans="1:6" x14ac:dyDescent="0.25">
      <c r="A276" t="s">
        <v>257</v>
      </c>
      <c r="B276">
        <v>1525</v>
      </c>
      <c r="C276" t="s">
        <v>381</v>
      </c>
      <c r="D276">
        <v>38510</v>
      </c>
      <c r="E276">
        <v>0.94040000000000001</v>
      </c>
      <c r="F276">
        <v>9.2496404654189796E-4</v>
      </c>
    </row>
    <row r="277" spans="1:6" x14ac:dyDescent="0.25">
      <c r="A277" t="s">
        <v>278</v>
      </c>
      <c r="B277">
        <v>716</v>
      </c>
      <c r="C277" t="s">
        <v>381</v>
      </c>
      <c r="D277">
        <v>26825</v>
      </c>
      <c r="E277">
        <v>0.47299999999999998</v>
      </c>
      <c r="F277">
        <v>7.7589243032412673E-4</v>
      </c>
    </row>
    <row r="278" spans="1:6" x14ac:dyDescent="0.25">
      <c r="A278" t="s">
        <v>137</v>
      </c>
      <c r="B278">
        <v>281</v>
      </c>
      <c r="C278" t="s">
        <v>382</v>
      </c>
      <c r="D278">
        <v>42604</v>
      </c>
      <c r="E278">
        <v>1</v>
      </c>
      <c r="F278">
        <v>2.7899318942507401E-3</v>
      </c>
    </row>
    <row r="279" spans="1:6" x14ac:dyDescent="0.25">
      <c r="A279" t="s">
        <v>329</v>
      </c>
      <c r="B279">
        <v>855</v>
      </c>
      <c r="C279" t="s">
        <v>382</v>
      </c>
      <c r="D279">
        <v>227707</v>
      </c>
      <c r="E279">
        <v>1</v>
      </c>
      <c r="F279">
        <v>1.691702450285067E-2</v>
      </c>
    </row>
    <row r="280" spans="1:6" x14ac:dyDescent="0.25">
      <c r="A280" t="s">
        <v>92</v>
      </c>
      <c r="B280">
        <v>183</v>
      </c>
      <c r="C280" t="s">
        <v>381</v>
      </c>
      <c r="D280">
        <v>21408</v>
      </c>
      <c r="E280">
        <v>0.25631999999999999</v>
      </c>
      <c r="F280">
        <v>3.3343612947657925E-4</v>
      </c>
    </row>
    <row r="281" spans="1:6" x14ac:dyDescent="0.25">
      <c r="A281" t="s">
        <v>93</v>
      </c>
      <c r="B281">
        <v>1700</v>
      </c>
      <c r="C281" t="s">
        <v>381</v>
      </c>
      <c r="D281">
        <v>33867</v>
      </c>
      <c r="E281">
        <v>0.75468000000000002</v>
      </c>
      <c r="F281">
        <v>1.0980044419433277E-3</v>
      </c>
    </row>
    <row r="282" spans="1:6" x14ac:dyDescent="0.25">
      <c r="A282" t="s">
        <v>70</v>
      </c>
      <c r="B282">
        <v>1730</v>
      </c>
      <c r="C282" t="s">
        <v>381</v>
      </c>
      <c r="D282">
        <v>34592</v>
      </c>
      <c r="E282">
        <v>0.78368000000000004</v>
      </c>
      <c r="F282">
        <v>1.0819058187995462E-3</v>
      </c>
    </row>
    <row r="283" spans="1:6" x14ac:dyDescent="0.25">
      <c r="A283" t="s">
        <v>56</v>
      </c>
      <c r="B283">
        <v>737</v>
      </c>
      <c r="C283" t="s">
        <v>381</v>
      </c>
      <c r="D283">
        <v>32408</v>
      </c>
      <c r="E283">
        <v>0.69632000000000005</v>
      </c>
      <c r="F283">
        <v>1.280617916402247E-3</v>
      </c>
    </row>
    <row r="284" spans="1:6" x14ac:dyDescent="0.25">
      <c r="A284" t="s">
        <v>210</v>
      </c>
      <c r="B284">
        <v>450</v>
      </c>
      <c r="C284" t="s">
        <v>383</v>
      </c>
      <c r="D284">
        <v>13472</v>
      </c>
      <c r="E284">
        <v>0</v>
      </c>
      <c r="F284">
        <v>3.6820019620595204E-4</v>
      </c>
    </row>
    <row r="285" spans="1:6" x14ac:dyDescent="0.25">
      <c r="A285" t="s">
        <v>211</v>
      </c>
      <c r="B285">
        <v>451</v>
      </c>
      <c r="C285" t="s">
        <v>381</v>
      </c>
      <c r="D285">
        <v>31442</v>
      </c>
      <c r="E285">
        <v>0.65768000000000004</v>
      </c>
      <c r="F285">
        <v>1.0461986499043113E-3</v>
      </c>
    </row>
    <row r="286" spans="1:6" x14ac:dyDescent="0.25">
      <c r="A286" t="s">
        <v>372</v>
      </c>
      <c r="B286">
        <v>184</v>
      </c>
      <c r="C286" t="s">
        <v>381</v>
      </c>
      <c r="D286">
        <v>21829</v>
      </c>
      <c r="E286">
        <v>0.27316000000000007</v>
      </c>
      <c r="F286">
        <v>2.9237377327425633E-4</v>
      </c>
    </row>
    <row r="287" spans="1:6" x14ac:dyDescent="0.25">
      <c r="A287" t="s">
        <v>394</v>
      </c>
      <c r="B287">
        <v>344</v>
      </c>
      <c r="C287" t="s">
        <v>382</v>
      </c>
      <c r="D287">
        <v>367947</v>
      </c>
      <c r="E287">
        <v>1</v>
      </c>
      <c r="F287">
        <v>2.4577411175911779E-2</v>
      </c>
    </row>
    <row r="288" spans="1:6" x14ac:dyDescent="0.25">
      <c r="A288" t="s">
        <v>167</v>
      </c>
      <c r="B288">
        <v>1581</v>
      </c>
      <c r="C288" t="s">
        <v>382</v>
      </c>
      <c r="D288">
        <v>50429</v>
      </c>
      <c r="E288">
        <v>1</v>
      </c>
      <c r="F288">
        <v>1.4481737374224407E-3</v>
      </c>
    </row>
    <row r="289" spans="1:6" x14ac:dyDescent="0.25">
      <c r="A289" t="s">
        <v>362</v>
      </c>
      <c r="B289">
        <v>981</v>
      </c>
      <c r="C289" t="s">
        <v>383</v>
      </c>
      <c r="D289">
        <v>10190</v>
      </c>
      <c r="E289">
        <v>0</v>
      </c>
      <c r="F289">
        <v>7.0005087441951468E-4</v>
      </c>
    </row>
    <row r="290" spans="1:6" x14ac:dyDescent="0.25">
      <c r="A290" t="s">
        <v>363</v>
      </c>
      <c r="B290">
        <v>994</v>
      </c>
      <c r="C290" t="s">
        <v>381</v>
      </c>
      <c r="D290">
        <v>16423</v>
      </c>
      <c r="E290">
        <v>5.6919999999999971E-2</v>
      </c>
      <c r="F290">
        <v>6.9792729451925522E-4</v>
      </c>
    </row>
    <row r="291" spans="1:6" x14ac:dyDescent="0.25">
      <c r="A291" t="s">
        <v>330</v>
      </c>
      <c r="B291">
        <v>858</v>
      </c>
      <c r="C291" t="s">
        <v>381</v>
      </c>
      <c r="D291">
        <v>31527</v>
      </c>
      <c r="E291">
        <v>0.66108</v>
      </c>
      <c r="F291">
        <v>1.1449401542781056E-3</v>
      </c>
    </row>
    <row r="292" spans="1:6" x14ac:dyDescent="0.25">
      <c r="A292" t="s">
        <v>39</v>
      </c>
      <c r="B292">
        <v>47</v>
      </c>
      <c r="C292" t="s">
        <v>381</v>
      </c>
      <c r="D292">
        <v>27616</v>
      </c>
      <c r="E292">
        <v>0.50463999999999998</v>
      </c>
      <c r="F292">
        <v>1.8792606407386917E-3</v>
      </c>
    </row>
    <row r="293" spans="1:6" x14ac:dyDescent="0.25">
      <c r="A293" t="s">
        <v>168</v>
      </c>
      <c r="B293">
        <v>345</v>
      </c>
      <c r="C293" t="s">
        <v>382</v>
      </c>
      <c r="D293">
        <v>68525</v>
      </c>
      <c r="E293">
        <v>1</v>
      </c>
      <c r="F293">
        <v>3.2536502886717071E-3</v>
      </c>
    </row>
    <row r="294" spans="1:6" x14ac:dyDescent="0.25">
      <c r="A294" t="s">
        <v>279</v>
      </c>
      <c r="B294">
        <v>717</v>
      </c>
      <c r="C294" t="s">
        <v>381</v>
      </c>
      <c r="D294">
        <v>22045</v>
      </c>
      <c r="E294">
        <v>0.28180000000000005</v>
      </c>
      <c r="F294">
        <v>4.1764489475972947E-4</v>
      </c>
    </row>
    <row r="295" spans="1:6" x14ac:dyDescent="0.25">
      <c r="A295" t="s">
        <v>331</v>
      </c>
      <c r="B295">
        <v>861</v>
      </c>
      <c r="C295" t="s">
        <v>382</v>
      </c>
      <c r="D295">
        <v>46417</v>
      </c>
      <c r="E295">
        <v>1</v>
      </c>
      <c r="F295">
        <v>1.245622315012612E-3</v>
      </c>
    </row>
    <row r="296" spans="1:6" x14ac:dyDescent="0.25">
      <c r="A296" t="s">
        <v>212</v>
      </c>
      <c r="B296">
        <v>453</v>
      </c>
      <c r="C296" t="s">
        <v>382</v>
      </c>
      <c r="D296">
        <v>68790</v>
      </c>
      <c r="E296">
        <v>1</v>
      </c>
      <c r="F296">
        <v>3.9350861168556423E-3</v>
      </c>
    </row>
    <row r="297" spans="1:6" x14ac:dyDescent="0.25">
      <c r="A297" t="s">
        <v>364</v>
      </c>
      <c r="B297">
        <v>983</v>
      </c>
      <c r="C297" t="s">
        <v>382</v>
      </c>
      <c r="D297">
        <v>103328</v>
      </c>
      <c r="E297">
        <v>1</v>
      </c>
      <c r="F297">
        <v>7.3071877575236486E-3</v>
      </c>
    </row>
    <row r="298" spans="1:6" x14ac:dyDescent="0.25">
      <c r="A298" t="s">
        <v>365</v>
      </c>
      <c r="B298">
        <v>984</v>
      </c>
      <c r="C298" t="s">
        <v>382</v>
      </c>
      <c r="D298">
        <v>44628</v>
      </c>
      <c r="E298">
        <v>1</v>
      </c>
      <c r="F298">
        <v>2.1390368083094866E-3</v>
      </c>
    </row>
    <row r="299" spans="1:6" x14ac:dyDescent="0.25">
      <c r="A299" t="s">
        <v>169</v>
      </c>
      <c r="B299">
        <v>1961</v>
      </c>
      <c r="C299" t="s">
        <v>382</v>
      </c>
      <c r="D299">
        <v>60052</v>
      </c>
      <c r="E299">
        <v>1</v>
      </c>
      <c r="F299">
        <v>1.8702199219469079E-3</v>
      </c>
    </row>
    <row r="300" spans="1:6" x14ac:dyDescent="0.25">
      <c r="A300" t="s">
        <v>258</v>
      </c>
      <c r="B300">
        <v>622</v>
      </c>
      <c r="C300" t="s">
        <v>382</v>
      </c>
      <c r="D300">
        <v>75079</v>
      </c>
      <c r="E300">
        <v>1</v>
      </c>
      <c r="F300">
        <v>6.5759757436801404E-3</v>
      </c>
    </row>
    <row r="301" spans="1:6" x14ac:dyDescent="0.25">
      <c r="A301" t="s">
        <v>57</v>
      </c>
      <c r="B301">
        <v>96</v>
      </c>
      <c r="C301" t="s">
        <v>383</v>
      </c>
      <c r="D301">
        <v>1291</v>
      </c>
      <c r="E301">
        <v>0</v>
      </c>
      <c r="F301">
        <v>1.7448376481595217E-5</v>
      </c>
    </row>
    <row r="302" spans="1:6" x14ac:dyDescent="0.25">
      <c r="A302" t="s">
        <v>280</v>
      </c>
      <c r="B302">
        <v>718</v>
      </c>
      <c r="C302" t="s">
        <v>382</v>
      </c>
      <c r="D302">
        <v>45150</v>
      </c>
      <c r="E302">
        <v>1</v>
      </c>
      <c r="F302">
        <v>4.1102597127700858E-3</v>
      </c>
    </row>
    <row r="303" spans="1:6" x14ac:dyDescent="0.25">
      <c r="A303" t="s">
        <v>366</v>
      </c>
      <c r="B303">
        <v>986</v>
      </c>
      <c r="C303" t="s">
        <v>383</v>
      </c>
      <c r="D303">
        <v>12405</v>
      </c>
      <c r="E303">
        <v>0</v>
      </c>
      <c r="F303">
        <v>2.7176233496095545E-4</v>
      </c>
    </row>
    <row r="304" spans="1:6" x14ac:dyDescent="0.25">
      <c r="A304" t="s">
        <v>259</v>
      </c>
      <c r="B304">
        <v>1992</v>
      </c>
      <c r="C304" t="s">
        <v>382</v>
      </c>
      <c r="D304">
        <v>73945</v>
      </c>
      <c r="E304">
        <v>1</v>
      </c>
      <c r="F304">
        <v>2.9070026896443318E-3</v>
      </c>
    </row>
    <row r="305" spans="1:6" x14ac:dyDescent="0.25">
      <c r="A305" t="s">
        <v>260</v>
      </c>
      <c r="B305">
        <v>626</v>
      </c>
      <c r="C305" t="s">
        <v>381</v>
      </c>
      <c r="D305">
        <v>25665</v>
      </c>
      <c r="E305">
        <v>0.42659999999999998</v>
      </c>
      <c r="F305">
        <v>7.8638955325010911E-4</v>
      </c>
    </row>
    <row r="306" spans="1:6" x14ac:dyDescent="0.25">
      <c r="A306" t="s">
        <v>138</v>
      </c>
      <c r="B306">
        <v>285</v>
      </c>
      <c r="C306" t="s">
        <v>381</v>
      </c>
      <c r="D306">
        <v>25215</v>
      </c>
      <c r="E306">
        <v>0.40860000000000007</v>
      </c>
      <c r="F306">
        <v>5.7330137900246734E-4</v>
      </c>
    </row>
    <row r="307" spans="1:6" x14ac:dyDescent="0.25">
      <c r="A307" t="s">
        <v>332</v>
      </c>
      <c r="B307">
        <v>865</v>
      </c>
      <c r="C307" t="s">
        <v>381</v>
      </c>
      <c r="D307">
        <v>32113</v>
      </c>
      <c r="E307">
        <v>0.68452000000000002</v>
      </c>
      <c r="F307">
        <v>7.3673216470616107E-4</v>
      </c>
    </row>
    <row r="308" spans="1:6" x14ac:dyDescent="0.25">
      <c r="A308" t="s">
        <v>58</v>
      </c>
      <c r="B308">
        <v>1949</v>
      </c>
      <c r="C308" t="s">
        <v>382</v>
      </c>
      <c r="D308">
        <v>46718</v>
      </c>
      <c r="E308">
        <v>1</v>
      </c>
      <c r="F308">
        <v>2.1802746919862806E-3</v>
      </c>
    </row>
    <row r="309" spans="1:6" x14ac:dyDescent="0.25">
      <c r="A309" t="s">
        <v>333</v>
      </c>
      <c r="B309">
        <v>866</v>
      </c>
      <c r="C309" t="s">
        <v>381</v>
      </c>
      <c r="D309">
        <v>17980</v>
      </c>
      <c r="E309">
        <v>0.11919999999999997</v>
      </c>
      <c r="F309">
        <v>4.7044080054823385E-4</v>
      </c>
    </row>
    <row r="310" spans="1:6" x14ac:dyDescent="0.25">
      <c r="A310" t="s">
        <v>334</v>
      </c>
      <c r="B310">
        <v>867</v>
      </c>
      <c r="C310" t="s">
        <v>382</v>
      </c>
      <c r="D310">
        <v>49952</v>
      </c>
      <c r="E310">
        <v>1</v>
      </c>
      <c r="F310">
        <v>2.0643108926307985E-3</v>
      </c>
    </row>
    <row r="311" spans="1:6" x14ac:dyDescent="0.25">
      <c r="A311" t="s">
        <v>261</v>
      </c>
      <c r="B311">
        <v>627</v>
      </c>
      <c r="C311" t="s">
        <v>381</v>
      </c>
      <c r="D311">
        <v>32601</v>
      </c>
      <c r="E311">
        <v>0.70404</v>
      </c>
      <c r="F311">
        <v>9.6895467318529696E-4</v>
      </c>
    </row>
    <row r="312" spans="1:6" x14ac:dyDescent="0.25">
      <c r="A312" t="s">
        <v>139</v>
      </c>
      <c r="B312">
        <v>289</v>
      </c>
      <c r="C312" t="s">
        <v>382</v>
      </c>
      <c r="D312">
        <v>40960</v>
      </c>
      <c r="E312">
        <v>1</v>
      </c>
      <c r="F312">
        <v>2.2142436551090103E-3</v>
      </c>
    </row>
    <row r="313" spans="1:6" x14ac:dyDescent="0.25">
      <c r="A313" t="s">
        <v>262</v>
      </c>
      <c r="B313">
        <v>629</v>
      </c>
      <c r="C313" t="s">
        <v>381</v>
      </c>
      <c r="D313">
        <v>27093</v>
      </c>
      <c r="E313">
        <v>0.48371999999999993</v>
      </c>
      <c r="F313">
        <v>9.3953231633339175E-4</v>
      </c>
    </row>
    <row r="314" spans="1:6" x14ac:dyDescent="0.25">
      <c r="A314" t="s">
        <v>213</v>
      </c>
      <c r="B314">
        <v>852</v>
      </c>
      <c r="C314" t="s">
        <v>381</v>
      </c>
      <c r="D314">
        <v>17609</v>
      </c>
      <c r="E314">
        <v>0.10436000000000001</v>
      </c>
      <c r="F314">
        <v>4.3440910742985171E-4</v>
      </c>
    </row>
    <row r="315" spans="1:6" x14ac:dyDescent="0.25">
      <c r="A315" t="s">
        <v>367</v>
      </c>
      <c r="B315">
        <v>988</v>
      </c>
      <c r="C315" t="s">
        <v>382</v>
      </c>
      <c r="D315">
        <v>50872</v>
      </c>
      <c r="E315">
        <v>1</v>
      </c>
      <c r="F315">
        <v>2.1775835635830286E-3</v>
      </c>
    </row>
    <row r="316" spans="1:6" x14ac:dyDescent="0.25">
      <c r="A316" t="s">
        <v>141</v>
      </c>
      <c r="B316">
        <v>668</v>
      </c>
      <c r="C316" t="s">
        <v>381</v>
      </c>
      <c r="D316">
        <v>20065</v>
      </c>
      <c r="E316">
        <v>0.2026</v>
      </c>
      <c r="F316">
        <v>4.4848426504894332E-4</v>
      </c>
    </row>
    <row r="317" spans="1:6" x14ac:dyDescent="0.25">
      <c r="A317" t="s">
        <v>395</v>
      </c>
      <c r="B317">
        <v>1960</v>
      </c>
      <c r="C317" t="s">
        <v>382</v>
      </c>
      <c r="D317">
        <v>52720</v>
      </c>
      <c r="E317">
        <v>1</v>
      </c>
      <c r="F317">
        <v>1.1759003321577545E-3</v>
      </c>
    </row>
    <row r="318" spans="1:6" x14ac:dyDescent="0.25">
      <c r="A318" t="s">
        <v>40</v>
      </c>
      <c r="B318">
        <v>1969</v>
      </c>
      <c r="C318" t="s">
        <v>382</v>
      </c>
      <c r="D318">
        <v>64946</v>
      </c>
      <c r="E318">
        <v>1</v>
      </c>
      <c r="F318">
        <v>2.3116408244115896E-3</v>
      </c>
    </row>
    <row r="319" spans="1:6" x14ac:dyDescent="0.25">
      <c r="A319" t="s">
        <v>71</v>
      </c>
      <c r="B319">
        <v>1701</v>
      </c>
      <c r="C319" t="s">
        <v>381</v>
      </c>
      <c r="D319">
        <v>19860</v>
      </c>
      <c r="E319">
        <v>0.19440000000000002</v>
      </c>
      <c r="F319">
        <v>5.9581451881512374E-4</v>
      </c>
    </row>
    <row r="320" spans="1:6" x14ac:dyDescent="0.25">
      <c r="A320" t="s">
        <v>142</v>
      </c>
      <c r="B320">
        <v>293</v>
      </c>
      <c r="C320" t="s">
        <v>381</v>
      </c>
      <c r="D320">
        <v>15114</v>
      </c>
      <c r="E320">
        <v>4.5600000000000085E-3</v>
      </c>
      <c r="F320">
        <v>7.6773832344526256E-4</v>
      </c>
    </row>
    <row r="321" spans="1:6" x14ac:dyDescent="0.25">
      <c r="A321" t="s">
        <v>41</v>
      </c>
      <c r="B321">
        <v>1950</v>
      </c>
      <c r="C321" t="s">
        <v>381</v>
      </c>
      <c r="D321">
        <v>26537</v>
      </c>
      <c r="E321">
        <v>0.46148</v>
      </c>
      <c r="F321">
        <v>1.1095511334464805E-3</v>
      </c>
    </row>
    <row r="322" spans="1:6" x14ac:dyDescent="0.25">
      <c r="A322" t="s">
        <v>263</v>
      </c>
      <c r="B322">
        <v>1783</v>
      </c>
      <c r="C322" t="s">
        <v>382</v>
      </c>
      <c r="D322">
        <v>114887</v>
      </c>
      <c r="E322">
        <v>1</v>
      </c>
      <c r="F322">
        <v>3.5338254065121716E-3</v>
      </c>
    </row>
    <row r="323" spans="1:6" x14ac:dyDescent="0.25">
      <c r="A323" t="s">
        <v>59</v>
      </c>
      <c r="B323">
        <v>98</v>
      </c>
      <c r="C323" t="s">
        <v>381</v>
      </c>
      <c r="D323">
        <v>26467</v>
      </c>
      <c r="E323">
        <v>0.45867999999999998</v>
      </c>
      <c r="F323">
        <v>1.06568327489619E-3</v>
      </c>
    </row>
    <row r="324" spans="1:6" x14ac:dyDescent="0.25">
      <c r="A324" t="s">
        <v>94</v>
      </c>
      <c r="B324">
        <v>189</v>
      </c>
      <c r="C324" t="s">
        <v>381</v>
      </c>
      <c r="D324">
        <v>24862</v>
      </c>
      <c r="E324">
        <v>0.39447999999999994</v>
      </c>
      <c r="F324">
        <v>4.6328311556217039E-4</v>
      </c>
    </row>
    <row r="325" spans="1:6" x14ac:dyDescent="0.25">
      <c r="A325" t="s">
        <v>143</v>
      </c>
      <c r="B325">
        <v>296</v>
      </c>
      <c r="C325" t="s">
        <v>382</v>
      </c>
      <c r="D325">
        <v>41537</v>
      </c>
      <c r="E325">
        <v>1</v>
      </c>
      <c r="F325">
        <v>1.6550753429205654E-3</v>
      </c>
    </row>
    <row r="326" spans="1:6" x14ac:dyDescent="0.25">
      <c r="A326" t="s">
        <v>214</v>
      </c>
      <c r="B326">
        <v>1696</v>
      </c>
      <c r="C326" t="s">
        <v>381</v>
      </c>
      <c r="D326">
        <v>24659</v>
      </c>
      <c r="E326">
        <v>0.38636000000000004</v>
      </c>
      <c r="F326">
        <v>5.07784594418099E-4</v>
      </c>
    </row>
    <row r="327" spans="1:6" x14ac:dyDescent="0.25">
      <c r="A327" t="s">
        <v>170</v>
      </c>
      <c r="B327">
        <v>352</v>
      </c>
      <c r="C327" t="s">
        <v>381</v>
      </c>
      <c r="D327">
        <v>23995</v>
      </c>
      <c r="E327">
        <v>0.35980000000000001</v>
      </c>
      <c r="F327">
        <v>5.8048194865332819E-4</v>
      </c>
    </row>
    <row r="328" spans="1:6" x14ac:dyDescent="0.25">
      <c r="A328" t="s">
        <v>144</v>
      </c>
      <c r="B328">
        <v>294</v>
      </c>
      <c r="C328" t="s">
        <v>381</v>
      </c>
      <c r="D328">
        <v>29253</v>
      </c>
      <c r="E328">
        <v>0.57011999999999996</v>
      </c>
      <c r="F328">
        <v>1.3781454082414705E-3</v>
      </c>
    </row>
    <row r="329" spans="1:6" x14ac:dyDescent="0.25">
      <c r="A329" t="s">
        <v>335</v>
      </c>
      <c r="B329">
        <v>873</v>
      </c>
      <c r="C329" t="s">
        <v>381</v>
      </c>
      <c r="D329">
        <v>22191</v>
      </c>
      <c r="E329">
        <v>0.28764000000000001</v>
      </c>
      <c r="F329">
        <v>6.5286723354364179E-4</v>
      </c>
    </row>
    <row r="330" spans="1:6" x14ac:dyDescent="0.25">
      <c r="A330" t="s">
        <v>171</v>
      </c>
      <c r="B330">
        <v>632</v>
      </c>
      <c r="C330" t="s">
        <v>382</v>
      </c>
      <c r="D330">
        <v>53244</v>
      </c>
      <c r="E330">
        <v>1</v>
      </c>
      <c r="F330">
        <v>1.6006290166378028E-3</v>
      </c>
    </row>
    <row r="331" spans="1:6" x14ac:dyDescent="0.25">
      <c r="A331" t="s">
        <v>215</v>
      </c>
      <c r="B331">
        <v>880</v>
      </c>
      <c r="C331" t="s">
        <v>381</v>
      </c>
      <c r="D331">
        <v>16612</v>
      </c>
      <c r="E331">
        <v>6.4479999999999982E-2</v>
      </c>
      <c r="F331">
        <v>5.3847734354326891E-4</v>
      </c>
    </row>
    <row r="332" spans="1:6" x14ac:dyDescent="0.25">
      <c r="A332" t="s">
        <v>172</v>
      </c>
      <c r="B332">
        <v>351</v>
      </c>
      <c r="C332" t="s">
        <v>383</v>
      </c>
      <c r="D332">
        <v>14358</v>
      </c>
      <c r="E332">
        <v>0</v>
      </c>
      <c r="F332">
        <v>2.3188433124934947E-4</v>
      </c>
    </row>
    <row r="333" spans="1:6" x14ac:dyDescent="0.25">
      <c r="A333" t="s">
        <v>216</v>
      </c>
      <c r="B333">
        <v>479</v>
      </c>
      <c r="C333" t="s">
        <v>382</v>
      </c>
      <c r="D333">
        <v>159618</v>
      </c>
      <c r="E333">
        <v>1</v>
      </c>
      <c r="F333">
        <v>9.5908748016461202E-3</v>
      </c>
    </row>
    <row r="334" spans="1:6" x14ac:dyDescent="0.25">
      <c r="A334" t="s">
        <v>145</v>
      </c>
      <c r="B334">
        <v>297</v>
      </c>
      <c r="C334" t="s">
        <v>381</v>
      </c>
      <c r="D334">
        <v>30349</v>
      </c>
      <c r="E334">
        <v>0.61395999999999995</v>
      </c>
      <c r="F334">
        <v>7.7981226929645618E-4</v>
      </c>
    </row>
    <row r="335" spans="1:6" x14ac:dyDescent="0.25">
      <c r="A335" t="s">
        <v>217</v>
      </c>
      <c r="B335">
        <v>473</v>
      </c>
      <c r="C335" t="s">
        <v>381</v>
      </c>
      <c r="D335">
        <v>17542</v>
      </c>
      <c r="E335">
        <v>0.10167999999999999</v>
      </c>
      <c r="F335">
        <v>1.0059983812237066E-3</v>
      </c>
    </row>
    <row r="336" spans="1:6" x14ac:dyDescent="0.25">
      <c r="A336" t="s">
        <v>373</v>
      </c>
      <c r="B336">
        <v>50</v>
      </c>
      <c r="C336" t="s">
        <v>381</v>
      </c>
      <c r="D336">
        <v>23692</v>
      </c>
      <c r="E336">
        <v>0.34767999999999999</v>
      </c>
      <c r="F336">
        <v>7.3768072481045796E-4</v>
      </c>
    </row>
    <row r="337" spans="1:6" x14ac:dyDescent="0.25">
      <c r="A337" t="s">
        <v>173</v>
      </c>
      <c r="B337">
        <v>355</v>
      </c>
      <c r="C337" t="s">
        <v>382</v>
      </c>
      <c r="D337">
        <v>66629</v>
      </c>
      <c r="E337">
        <v>1</v>
      </c>
      <c r="F337">
        <v>3.0715219707523073E-3</v>
      </c>
    </row>
    <row r="338" spans="1:6" x14ac:dyDescent="0.25">
      <c r="A338" t="s">
        <v>146</v>
      </c>
      <c r="B338">
        <v>299</v>
      </c>
      <c r="C338" t="s">
        <v>382</v>
      </c>
      <c r="D338">
        <v>45042</v>
      </c>
      <c r="E338">
        <v>1</v>
      </c>
      <c r="F338">
        <v>1.7848645415348948E-3</v>
      </c>
    </row>
    <row r="339" spans="1:6" x14ac:dyDescent="0.25">
      <c r="A339" t="s">
        <v>264</v>
      </c>
      <c r="B339">
        <v>637</v>
      </c>
      <c r="C339" t="s">
        <v>382</v>
      </c>
      <c r="D339">
        <v>126998</v>
      </c>
      <c r="E339">
        <v>1</v>
      </c>
      <c r="F339">
        <v>7.2783197731936013E-3</v>
      </c>
    </row>
    <row r="340" spans="1:6" x14ac:dyDescent="0.25">
      <c r="A340" t="s">
        <v>265</v>
      </c>
      <c r="B340">
        <v>638</v>
      </c>
      <c r="C340" t="s">
        <v>383</v>
      </c>
      <c r="D340">
        <v>9443</v>
      </c>
      <c r="E340">
        <v>0</v>
      </c>
      <c r="F340">
        <v>1.6313125783441607E-4</v>
      </c>
    </row>
    <row r="341" spans="1:6" x14ac:dyDescent="0.25">
      <c r="A341" t="s">
        <v>266</v>
      </c>
      <c r="B341">
        <v>1892</v>
      </c>
      <c r="C341" t="s">
        <v>382</v>
      </c>
      <c r="D341">
        <v>46981</v>
      </c>
      <c r="E341">
        <v>1</v>
      </c>
      <c r="F341">
        <v>1.3803783574511575E-3</v>
      </c>
    </row>
    <row r="342" spans="1:6" x14ac:dyDescent="0.25">
      <c r="A342" t="s">
        <v>336</v>
      </c>
      <c r="B342">
        <v>879</v>
      </c>
      <c r="C342" t="s">
        <v>381</v>
      </c>
      <c r="D342">
        <v>22518</v>
      </c>
      <c r="E342">
        <v>0.30071999999999999</v>
      </c>
      <c r="F342">
        <v>5.3879790301144734E-4</v>
      </c>
    </row>
    <row r="343" spans="1:6" x14ac:dyDescent="0.25">
      <c r="A343" t="s">
        <v>147</v>
      </c>
      <c r="B343">
        <v>301</v>
      </c>
      <c r="C343" t="s">
        <v>382</v>
      </c>
      <c r="D343">
        <v>48510</v>
      </c>
      <c r="E343">
        <v>1</v>
      </c>
      <c r="F343">
        <v>3.4296509958625151E-3</v>
      </c>
    </row>
    <row r="344" spans="1:6" x14ac:dyDescent="0.25">
      <c r="A344" t="s">
        <v>95</v>
      </c>
      <c r="B344">
        <v>1896</v>
      </c>
      <c r="C344" t="s">
        <v>381</v>
      </c>
      <c r="D344">
        <v>23368</v>
      </c>
      <c r="E344">
        <v>0.33472000000000002</v>
      </c>
      <c r="F344">
        <v>5.0279299233954317E-4</v>
      </c>
    </row>
    <row r="345" spans="1:6" x14ac:dyDescent="0.25">
      <c r="A345" t="s">
        <v>267</v>
      </c>
      <c r="B345">
        <v>642</v>
      </c>
      <c r="C345" t="s">
        <v>382</v>
      </c>
      <c r="D345">
        <v>45018</v>
      </c>
      <c r="E345">
        <v>1</v>
      </c>
      <c r="F345">
        <v>2.8672479532593142E-3</v>
      </c>
    </row>
    <row r="346" spans="1:6" x14ac:dyDescent="0.25">
      <c r="A346" t="s">
        <v>96</v>
      </c>
      <c r="B346">
        <v>193</v>
      </c>
      <c r="C346" t="s">
        <v>382</v>
      </c>
      <c r="D346">
        <v>132411</v>
      </c>
      <c r="E346">
        <v>1</v>
      </c>
      <c r="F346">
        <v>8.6968800897032038E-3</v>
      </c>
    </row>
    <row r="347" spans="1:6" x14ac:dyDescent="0.25">
      <c r="A347" t="s">
        <v>0</v>
      </c>
      <c r="B347">
        <v>999</v>
      </c>
      <c r="D347">
        <v>17811291</v>
      </c>
      <c r="E347">
        <v>0</v>
      </c>
      <c r="F347">
        <v>1</v>
      </c>
    </row>
  </sheetData>
  <sortState xmlns:xlrd2="http://schemas.microsoft.com/office/spreadsheetml/2017/richdata2" ref="L5:L346">
    <sortCondition ref="L5:L34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9887-9B79-4F60-9074-4754A05E0BED}">
  <dimension ref="A2:ME3"/>
  <sheetViews>
    <sheetView topLeftCell="LJ1" workbookViewId="0">
      <selection activeCell="MF2" sqref="MF2"/>
    </sheetView>
  </sheetViews>
  <sheetFormatPr defaultRowHeight="15" x14ac:dyDescent="0.25"/>
  <sheetData>
    <row r="2" spans="1:343" x14ac:dyDescent="0.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  <c r="O2">
        <v>14</v>
      </c>
      <c r="P2">
        <v>15</v>
      </c>
      <c r="Q2">
        <v>16</v>
      </c>
      <c r="R2">
        <v>17</v>
      </c>
      <c r="S2">
        <v>18</v>
      </c>
      <c r="T2">
        <v>19</v>
      </c>
      <c r="U2">
        <v>20</v>
      </c>
      <c r="V2">
        <v>21</v>
      </c>
      <c r="W2">
        <v>22</v>
      </c>
      <c r="X2">
        <v>23</v>
      </c>
      <c r="Y2">
        <v>24</v>
      </c>
      <c r="Z2">
        <v>25</v>
      </c>
      <c r="AA2">
        <v>26</v>
      </c>
      <c r="AB2">
        <v>27</v>
      </c>
      <c r="AC2">
        <v>28</v>
      </c>
      <c r="AD2">
        <v>29</v>
      </c>
      <c r="AE2">
        <v>30</v>
      </c>
      <c r="AF2">
        <v>31</v>
      </c>
      <c r="AG2">
        <v>32</v>
      </c>
      <c r="AH2">
        <v>33</v>
      </c>
      <c r="AI2">
        <v>34</v>
      </c>
      <c r="AJ2">
        <v>35</v>
      </c>
      <c r="AK2">
        <v>36</v>
      </c>
      <c r="AL2">
        <v>37</v>
      </c>
      <c r="AM2">
        <v>38</v>
      </c>
      <c r="AN2">
        <v>39</v>
      </c>
      <c r="AO2">
        <v>40</v>
      </c>
      <c r="AP2">
        <v>41</v>
      </c>
      <c r="AQ2">
        <v>42</v>
      </c>
      <c r="AR2">
        <v>43</v>
      </c>
      <c r="AS2">
        <v>44</v>
      </c>
      <c r="AT2">
        <v>45</v>
      </c>
      <c r="AU2">
        <v>46</v>
      </c>
      <c r="AV2">
        <v>47</v>
      </c>
      <c r="AW2">
        <v>48</v>
      </c>
      <c r="AX2">
        <v>49</v>
      </c>
      <c r="AY2">
        <v>50</v>
      </c>
      <c r="AZ2">
        <v>51</v>
      </c>
      <c r="BA2">
        <v>52</v>
      </c>
      <c r="BB2">
        <v>53</v>
      </c>
      <c r="BC2">
        <v>54</v>
      </c>
      <c r="BD2">
        <v>55</v>
      </c>
      <c r="BE2">
        <v>56</v>
      </c>
      <c r="BF2">
        <v>57</v>
      </c>
      <c r="BG2">
        <v>58</v>
      </c>
      <c r="BH2">
        <v>59</v>
      </c>
      <c r="BI2">
        <v>60</v>
      </c>
      <c r="BJ2">
        <v>61</v>
      </c>
      <c r="BK2">
        <v>62</v>
      </c>
      <c r="BL2">
        <v>63</v>
      </c>
      <c r="BM2">
        <v>64</v>
      </c>
      <c r="BN2">
        <v>65</v>
      </c>
      <c r="BO2">
        <v>66</v>
      </c>
      <c r="BP2">
        <v>67</v>
      </c>
      <c r="BQ2">
        <v>68</v>
      </c>
      <c r="BR2">
        <v>69</v>
      </c>
      <c r="BS2">
        <v>70</v>
      </c>
      <c r="BT2">
        <v>71</v>
      </c>
      <c r="BU2">
        <v>72</v>
      </c>
      <c r="BV2">
        <v>73</v>
      </c>
      <c r="BW2">
        <v>74</v>
      </c>
      <c r="BX2">
        <v>75</v>
      </c>
      <c r="BY2">
        <v>76</v>
      </c>
      <c r="BZ2">
        <v>77</v>
      </c>
      <c r="CA2">
        <v>78</v>
      </c>
      <c r="CB2">
        <v>79</v>
      </c>
      <c r="CC2">
        <v>80</v>
      </c>
      <c r="CD2">
        <v>81</v>
      </c>
      <c r="CE2">
        <v>82</v>
      </c>
      <c r="CF2">
        <v>83</v>
      </c>
      <c r="CG2">
        <v>84</v>
      </c>
      <c r="CH2">
        <v>85</v>
      </c>
      <c r="CI2">
        <v>86</v>
      </c>
      <c r="CJ2">
        <v>87</v>
      </c>
      <c r="CK2">
        <v>88</v>
      </c>
      <c r="CL2">
        <v>89</v>
      </c>
      <c r="CM2">
        <v>90</v>
      </c>
      <c r="CN2">
        <v>91</v>
      </c>
      <c r="CO2">
        <v>92</v>
      </c>
      <c r="CP2">
        <v>93</v>
      </c>
      <c r="CQ2">
        <v>94</v>
      </c>
      <c r="CR2">
        <v>95</v>
      </c>
      <c r="CS2">
        <v>96</v>
      </c>
      <c r="CT2">
        <v>97</v>
      </c>
      <c r="CU2">
        <v>98</v>
      </c>
      <c r="CV2">
        <v>99</v>
      </c>
      <c r="CW2">
        <v>100</v>
      </c>
      <c r="CX2">
        <v>101</v>
      </c>
      <c r="CY2">
        <v>102</v>
      </c>
      <c r="CZ2">
        <v>103</v>
      </c>
      <c r="DA2">
        <v>104</v>
      </c>
      <c r="DB2">
        <v>105</v>
      </c>
      <c r="DC2">
        <v>106</v>
      </c>
      <c r="DD2">
        <v>107</v>
      </c>
      <c r="DE2">
        <v>108</v>
      </c>
      <c r="DF2">
        <v>109</v>
      </c>
      <c r="DG2">
        <v>110</v>
      </c>
      <c r="DH2">
        <v>111</v>
      </c>
      <c r="DI2">
        <v>112</v>
      </c>
      <c r="DJ2">
        <v>113</v>
      </c>
      <c r="DK2">
        <v>114</v>
      </c>
      <c r="DL2">
        <v>115</v>
      </c>
      <c r="DM2">
        <v>116</v>
      </c>
      <c r="DN2">
        <v>117</v>
      </c>
      <c r="DO2">
        <v>118</v>
      </c>
      <c r="DP2">
        <v>119</v>
      </c>
      <c r="DQ2">
        <v>120</v>
      </c>
      <c r="DR2">
        <v>121</v>
      </c>
      <c r="DS2">
        <v>122</v>
      </c>
      <c r="DT2">
        <v>123</v>
      </c>
      <c r="DU2">
        <v>124</v>
      </c>
      <c r="DV2">
        <v>125</v>
      </c>
      <c r="DW2">
        <v>126</v>
      </c>
      <c r="DX2">
        <v>127</v>
      </c>
      <c r="DY2">
        <v>128</v>
      </c>
      <c r="DZ2">
        <v>129</v>
      </c>
      <c r="EA2">
        <v>130</v>
      </c>
      <c r="EB2">
        <v>131</v>
      </c>
      <c r="EC2">
        <v>132</v>
      </c>
      <c r="ED2">
        <v>133</v>
      </c>
      <c r="EE2">
        <v>134</v>
      </c>
      <c r="EF2">
        <v>135</v>
      </c>
      <c r="EG2">
        <v>136</v>
      </c>
      <c r="EH2">
        <v>137</v>
      </c>
      <c r="EI2">
        <v>138</v>
      </c>
      <c r="EJ2">
        <v>139</v>
      </c>
      <c r="EK2">
        <v>140</v>
      </c>
      <c r="EL2">
        <v>141</v>
      </c>
      <c r="EM2">
        <v>142</v>
      </c>
      <c r="EN2">
        <v>143</v>
      </c>
      <c r="EO2">
        <v>144</v>
      </c>
      <c r="EP2">
        <v>145</v>
      </c>
      <c r="EQ2">
        <v>146</v>
      </c>
      <c r="ER2">
        <v>147</v>
      </c>
      <c r="ES2">
        <v>148</v>
      </c>
      <c r="ET2">
        <v>149</v>
      </c>
      <c r="EU2">
        <v>150</v>
      </c>
      <c r="EV2">
        <v>151</v>
      </c>
      <c r="EW2">
        <v>152</v>
      </c>
      <c r="EX2">
        <v>153</v>
      </c>
      <c r="EY2">
        <v>154</v>
      </c>
      <c r="EZ2">
        <v>155</v>
      </c>
      <c r="FA2">
        <v>156</v>
      </c>
      <c r="FB2">
        <v>157</v>
      </c>
      <c r="FC2">
        <v>158</v>
      </c>
      <c r="FD2">
        <v>159</v>
      </c>
      <c r="FE2">
        <v>160</v>
      </c>
      <c r="FF2">
        <v>161</v>
      </c>
      <c r="FG2">
        <v>162</v>
      </c>
      <c r="FH2">
        <v>163</v>
      </c>
      <c r="FI2">
        <v>164</v>
      </c>
      <c r="FJ2">
        <v>165</v>
      </c>
      <c r="FK2">
        <v>166</v>
      </c>
      <c r="FL2">
        <v>167</v>
      </c>
      <c r="FM2">
        <v>168</v>
      </c>
      <c r="FN2">
        <v>169</v>
      </c>
      <c r="FO2">
        <v>170</v>
      </c>
      <c r="FP2">
        <v>171</v>
      </c>
      <c r="FQ2">
        <v>172</v>
      </c>
      <c r="FR2">
        <v>173</v>
      </c>
      <c r="FS2">
        <v>174</v>
      </c>
      <c r="FT2">
        <v>175</v>
      </c>
      <c r="FU2">
        <v>176</v>
      </c>
      <c r="FV2">
        <v>177</v>
      </c>
      <c r="FW2">
        <v>178</v>
      </c>
      <c r="FX2">
        <v>179</v>
      </c>
      <c r="FY2">
        <v>180</v>
      </c>
      <c r="FZ2">
        <v>181</v>
      </c>
      <c r="GA2">
        <v>182</v>
      </c>
      <c r="GB2">
        <v>183</v>
      </c>
      <c r="GC2">
        <v>184</v>
      </c>
      <c r="GD2">
        <v>185</v>
      </c>
      <c r="GE2">
        <v>186</v>
      </c>
      <c r="GF2">
        <v>187</v>
      </c>
      <c r="GG2">
        <v>188</v>
      </c>
      <c r="GH2">
        <v>189</v>
      </c>
      <c r="GI2">
        <v>190</v>
      </c>
      <c r="GJ2">
        <v>191</v>
      </c>
      <c r="GK2">
        <v>192</v>
      </c>
      <c r="GL2">
        <v>193</v>
      </c>
      <c r="GM2">
        <v>194</v>
      </c>
      <c r="GN2">
        <v>195</v>
      </c>
      <c r="GO2">
        <v>196</v>
      </c>
      <c r="GP2">
        <v>197</v>
      </c>
      <c r="GQ2">
        <v>198</v>
      </c>
      <c r="GR2">
        <v>199</v>
      </c>
      <c r="GS2">
        <v>200</v>
      </c>
      <c r="GT2">
        <v>201</v>
      </c>
      <c r="GU2">
        <v>202</v>
      </c>
      <c r="GV2">
        <v>203</v>
      </c>
      <c r="GW2">
        <v>204</v>
      </c>
      <c r="GX2">
        <v>205</v>
      </c>
      <c r="GY2">
        <v>206</v>
      </c>
      <c r="GZ2">
        <v>207</v>
      </c>
      <c r="HA2">
        <v>208</v>
      </c>
      <c r="HB2">
        <v>209</v>
      </c>
      <c r="HC2">
        <v>210</v>
      </c>
      <c r="HD2">
        <v>211</v>
      </c>
      <c r="HE2">
        <v>212</v>
      </c>
      <c r="HF2">
        <v>213</v>
      </c>
      <c r="HG2">
        <v>214</v>
      </c>
      <c r="HH2">
        <v>215</v>
      </c>
      <c r="HI2">
        <v>216</v>
      </c>
      <c r="HJ2">
        <v>217</v>
      </c>
      <c r="HK2">
        <v>218</v>
      </c>
      <c r="HL2">
        <v>219</v>
      </c>
      <c r="HM2">
        <v>220</v>
      </c>
      <c r="HN2">
        <v>221</v>
      </c>
      <c r="HO2">
        <v>222</v>
      </c>
      <c r="HP2">
        <v>223</v>
      </c>
      <c r="HQ2">
        <v>224</v>
      </c>
      <c r="HR2">
        <v>225</v>
      </c>
      <c r="HS2">
        <v>226</v>
      </c>
      <c r="HT2">
        <v>227</v>
      </c>
      <c r="HU2">
        <v>228</v>
      </c>
      <c r="HV2">
        <v>229</v>
      </c>
      <c r="HW2">
        <v>230</v>
      </c>
      <c r="HX2">
        <v>231</v>
      </c>
      <c r="HY2">
        <v>232</v>
      </c>
      <c r="HZ2">
        <v>233</v>
      </c>
      <c r="IA2">
        <v>234</v>
      </c>
      <c r="IB2">
        <v>235</v>
      </c>
      <c r="IC2">
        <v>236</v>
      </c>
      <c r="ID2">
        <v>237</v>
      </c>
      <c r="IE2">
        <v>238</v>
      </c>
      <c r="IF2">
        <v>239</v>
      </c>
      <c r="IG2">
        <v>240</v>
      </c>
      <c r="IH2">
        <v>241</v>
      </c>
      <c r="II2">
        <v>242</v>
      </c>
      <c r="IJ2">
        <v>243</v>
      </c>
      <c r="IK2">
        <v>244</v>
      </c>
      <c r="IL2">
        <v>245</v>
      </c>
      <c r="IM2">
        <v>246</v>
      </c>
      <c r="IN2">
        <v>247</v>
      </c>
      <c r="IO2">
        <v>248</v>
      </c>
      <c r="IP2">
        <v>249</v>
      </c>
      <c r="IQ2">
        <v>250</v>
      </c>
      <c r="IR2">
        <v>251</v>
      </c>
      <c r="IS2">
        <v>252</v>
      </c>
      <c r="IT2">
        <v>253</v>
      </c>
      <c r="IU2">
        <v>254</v>
      </c>
      <c r="IV2">
        <v>255</v>
      </c>
      <c r="IW2">
        <v>256</v>
      </c>
      <c r="IX2">
        <v>257</v>
      </c>
      <c r="IY2">
        <v>258</v>
      </c>
      <c r="IZ2">
        <v>259</v>
      </c>
      <c r="JA2">
        <v>260</v>
      </c>
      <c r="JB2">
        <v>261</v>
      </c>
      <c r="JC2">
        <v>262</v>
      </c>
      <c r="JD2">
        <v>263</v>
      </c>
      <c r="JE2">
        <v>264</v>
      </c>
      <c r="JF2">
        <v>265</v>
      </c>
      <c r="JG2">
        <v>266</v>
      </c>
      <c r="JH2">
        <v>267</v>
      </c>
      <c r="JI2">
        <v>268</v>
      </c>
      <c r="JJ2">
        <v>269</v>
      </c>
      <c r="JK2">
        <v>270</v>
      </c>
      <c r="JL2">
        <v>271</v>
      </c>
      <c r="JM2">
        <v>272</v>
      </c>
      <c r="JN2">
        <v>273</v>
      </c>
      <c r="JO2">
        <v>274</v>
      </c>
      <c r="JP2">
        <v>275</v>
      </c>
      <c r="JQ2">
        <v>276</v>
      </c>
      <c r="JR2">
        <v>277</v>
      </c>
      <c r="JS2">
        <v>278</v>
      </c>
      <c r="JT2">
        <v>279</v>
      </c>
      <c r="JU2">
        <v>280</v>
      </c>
      <c r="JV2">
        <v>281</v>
      </c>
      <c r="JW2">
        <v>282</v>
      </c>
      <c r="JX2">
        <v>283</v>
      </c>
      <c r="JY2">
        <v>284</v>
      </c>
      <c r="JZ2">
        <v>285</v>
      </c>
      <c r="KA2">
        <v>286</v>
      </c>
      <c r="KB2">
        <v>287</v>
      </c>
      <c r="KC2">
        <v>288</v>
      </c>
      <c r="KD2">
        <v>289</v>
      </c>
      <c r="KE2">
        <v>290</v>
      </c>
      <c r="KF2">
        <v>291</v>
      </c>
      <c r="KG2">
        <v>292</v>
      </c>
      <c r="KH2">
        <v>293</v>
      </c>
      <c r="KI2">
        <v>294</v>
      </c>
      <c r="KJ2">
        <v>295</v>
      </c>
      <c r="KK2">
        <v>296</v>
      </c>
      <c r="KL2">
        <v>297</v>
      </c>
      <c r="KM2">
        <v>298</v>
      </c>
      <c r="KN2">
        <v>299</v>
      </c>
      <c r="KO2">
        <v>300</v>
      </c>
      <c r="KP2">
        <v>301</v>
      </c>
      <c r="KQ2">
        <v>302</v>
      </c>
      <c r="KR2">
        <v>303</v>
      </c>
      <c r="KS2">
        <v>304</v>
      </c>
      <c r="KT2">
        <v>305</v>
      </c>
      <c r="KU2">
        <v>306</v>
      </c>
      <c r="KV2">
        <v>307</v>
      </c>
      <c r="KW2">
        <v>308</v>
      </c>
      <c r="KX2">
        <v>309</v>
      </c>
      <c r="KY2">
        <v>310</v>
      </c>
      <c r="KZ2">
        <v>311</v>
      </c>
      <c r="LA2">
        <v>312</v>
      </c>
      <c r="LB2">
        <v>313</v>
      </c>
      <c r="LC2">
        <v>314</v>
      </c>
      <c r="LD2">
        <v>315</v>
      </c>
      <c r="LE2">
        <v>316</v>
      </c>
      <c r="LF2">
        <v>317</v>
      </c>
      <c r="LG2">
        <v>318</v>
      </c>
      <c r="LH2">
        <v>319</v>
      </c>
      <c r="LI2">
        <v>320</v>
      </c>
      <c r="LJ2">
        <v>321</v>
      </c>
      <c r="LK2">
        <v>322</v>
      </c>
      <c r="LL2">
        <v>323</v>
      </c>
      <c r="LM2">
        <v>324</v>
      </c>
      <c r="LN2">
        <v>325</v>
      </c>
      <c r="LO2">
        <v>326</v>
      </c>
      <c r="LP2">
        <v>327</v>
      </c>
      <c r="LQ2">
        <v>328</v>
      </c>
      <c r="LR2">
        <v>329</v>
      </c>
      <c r="LS2">
        <v>330</v>
      </c>
      <c r="LT2">
        <v>331</v>
      </c>
      <c r="LU2">
        <v>332</v>
      </c>
      <c r="LV2">
        <v>333</v>
      </c>
      <c r="LW2">
        <v>334</v>
      </c>
      <c r="LX2">
        <v>335</v>
      </c>
      <c r="LY2">
        <v>336</v>
      </c>
      <c r="LZ2">
        <v>337</v>
      </c>
      <c r="MA2">
        <v>338</v>
      </c>
      <c r="MB2">
        <v>339</v>
      </c>
      <c r="MC2">
        <v>340</v>
      </c>
      <c r="MD2">
        <v>341</v>
      </c>
      <c r="ME2">
        <v>342</v>
      </c>
    </row>
    <row r="3" spans="1:343" x14ac:dyDescent="0.25">
      <c r="A3" t="s">
        <v>396</v>
      </c>
      <c r="B3">
        <v>8.6997672491939682E-4</v>
      </c>
      <c r="C3">
        <v>1.0883920837635452E-3</v>
      </c>
      <c r="D3">
        <v>1.1214087515574178E-3</v>
      </c>
      <c r="E3">
        <v>1.1759003321577532E-3</v>
      </c>
      <c r="F3">
        <v>1.195839792390907E-3</v>
      </c>
      <c r="G3">
        <v>1.2006667039069496E-3</v>
      </c>
      <c r="H3">
        <v>1.20107507656253E-3</v>
      </c>
      <c r="I3">
        <v>1.2456223150125734E-3</v>
      </c>
      <c r="J3">
        <v>1.2966103743097257E-3</v>
      </c>
      <c r="K3">
        <v>1.2989988194378466E-3</v>
      </c>
      <c r="L3">
        <v>1.3090722616279082E-3</v>
      </c>
      <c r="M3">
        <v>1.3234593887069268E-3</v>
      </c>
      <c r="N3">
        <v>1.3723337543705139E-3</v>
      </c>
      <c r="O3">
        <v>1.3803783574511952E-3</v>
      </c>
      <c r="P3">
        <v>1.392144074724766E-3</v>
      </c>
      <c r="Q3">
        <v>1.4005022027024916E-3</v>
      </c>
      <c r="R3">
        <v>1.4270153188697954E-3</v>
      </c>
      <c r="S3">
        <v>1.437869290206728E-3</v>
      </c>
      <c r="T3">
        <v>1.4481737374224535E-3</v>
      </c>
      <c r="U3">
        <v>1.4510651141310671E-3</v>
      </c>
      <c r="V3">
        <v>1.454462450786731E-3</v>
      </c>
      <c r="W3">
        <v>1.4632515259095369E-3</v>
      </c>
      <c r="X3">
        <v>1.4769670475708319E-3</v>
      </c>
      <c r="Y3">
        <v>1.5230840910794852E-3</v>
      </c>
      <c r="Z3">
        <v>1.5423191110633949E-3</v>
      </c>
      <c r="AA3">
        <v>1.5601968048534198E-3</v>
      </c>
      <c r="AB3">
        <v>1.5671792381688476E-3</v>
      </c>
      <c r="AC3">
        <v>1.6006290166378223E-3</v>
      </c>
      <c r="AD3">
        <v>1.6550753429205312E-3</v>
      </c>
      <c r="AE3">
        <v>1.6942898226385283E-3</v>
      </c>
      <c r="AF3">
        <v>1.7066864795817205E-3</v>
      </c>
      <c r="AG3">
        <v>1.7680817711539509E-3</v>
      </c>
      <c r="AH3">
        <v>1.7848645415349251E-3</v>
      </c>
      <c r="AI3">
        <v>1.7873691847736239E-3</v>
      </c>
      <c r="AJ3">
        <v>1.827698176584347E-3</v>
      </c>
      <c r="AK3">
        <v>1.8300918741165351E-3</v>
      </c>
      <c r="AL3">
        <v>1.870219921946914E-3</v>
      </c>
      <c r="AM3">
        <v>1.8884781210535273E-3</v>
      </c>
      <c r="AN3">
        <v>1.9538758212573892E-3</v>
      </c>
      <c r="AO3">
        <v>2.0108704931895982E-3</v>
      </c>
      <c r="AP3">
        <v>2.0156321788590281E-3</v>
      </c>
      <c r="AQ3">
        <v>2.060964484026262E-3</v>
      </c>
      <c r="AR3">
        <v>2.0643108926308162E-3</v>
      </c>
      <c r="AS3">
        <v>2.0914324731242662E-3</v>
      </c>
      <c r="AT3">
        <v>2.1072827389199134E-3</v>
      </c>
      <c r="AU3">
        <v>2.1390368083095135E-3</v>
      </c>
      <c r="AV3">
        <v>2.1685754588072204E-3</v>
      </c>
      <c r="AW3">
        <v>2.1775835635829965E-3</v>
      </c>
      <c r="AX3">
        <v>2.1802746919862281E-3</v>
      </c>
      <c r="AY3">
        <v>2.2142436551090272E-3</v>
      </c>
      <c r="AZ3">
        <v>2.2148806836495005E-3</v>
      </c>
      <c r="BA3">
        <v>2.2229076628323963E-3</v>
      </c>
      <c r="BB3">
        <v>2.2566911874706275E-3</v>
      </c>
      <c r="BC3">
        <v>2.3096668720440361E-3</v>
      </c>
      <c r="BD3">
        <v>2.3116408244115982E-3</v>
      </c>
      <c r="BE3">
        <v>2.3175448883002714E-3</v>
      </c>
      <c r="BF3">
        <v>2.4543788609264761E-3</v>
      </c>
      <c r="BG3">
        <v>2.5132477113238849E-3</v>
      </c>
      <c r="BH3">
        <v>2.5544618971717892E-3</v>
      </c>
      <c r="BI3">
        <v>2.6492963839389594E-3</v>
      </c>
      <c r="BJ3">
        <v>2.7297191463991899E-3</v>
      </c>
      <c r="BK3">
        <v>2.7899318942506968E-3</v>
      </c>
      <c r="BL3">
        <v>2.867247953259322E-3</v>
      </c>
      <c r="BM3">
        <v>2.8763107544833577E-3</v>
      </c>
      <c r="BN3">
        <v>2.907002689644278E-3</v>
      </c>
      <c r="BO3">
        <v>3.0260705716036451E-3</v>
      </c>
      <c r="BP3">
        <v>3.070471187378021E-3</v>
      </c>
      <c r="BQ3">
        <v>3.0715219707523334E-3</v>
      </c>
      <c r="BR3">
        <v>3.072981435226052E-3</v>
      </c>
      <c r="BS3">
        <v>3.1226457253872297E-3</v>
      </c>
      <c r="BT3">
        <v>3.25365028867175E-3</v>
      </c>
      <c r="BU3">
        <v>3.2609712162368076E-3</v>
      </c>
      <c r="BV3">
        <v>3.3211121679855848E-3</v>
      </c>
      <c r="BW3">
        <v>3.4296509958625654E-3</v>
      </c>
      <c r="BX3">
        <v>3.5338254065121477E-3</v>
      </c>
      <c r="BY3">
        <v>3.7131442885723898E-3</v>
      </c>
      <c r="BZ3">
        <v>3.8415841731467282E-3</v>
      </c>
      <c r="CA3">
        <v>3.8771721659721647E-3</v>
      </c>
      <c r="CB3">
        <v>3.89785390891495E-3</v>
      </c>
      <c r="CC3">
        <v>3.9350861168556683E-3</v>
      </c>
      <c r="CD3">
        <v>4.0173902333254796E-3</v>
      </c>
      <c r="CE3">
        <v>4.0346282683024759E-3</v>
      </c>
      <c r="CF3">
        <v>4.0385173085887294E-3</v>
      </c>
      <c r="CG3">
        <v>4.1102597127701257E-3</v>
      </c>
      <c r="CH3">
        <v>4.1559366262543529E-3</v>
      </c>
      <c r="CI3">
        <v>4.185783228725759E-3</v>
      </c>
      <c r="CJ3">
        <v>4.2365029706753488E-3</v>
      </c>
      <c r="CK3">
        <v>4.4491423272742248E-3</v>
      </c>
      <c r="CL3">
        <v>4.4766424247536518E-3</v>
      </c>
      <c r="CM3">
        <v>4.5571979661794826E-3</v>
      </c>
      <c r="CN3">
        <v>4.6042837637753076E-3</v>
      </c>
      <c r="CO3">
        <v>4.7898692208370175E-3</v>
      </c>
      <c r="CP3">
        <v>4.8246622777323722E-3</v>
      </c>
      <c r="CQ3">
        <v>4.9712626998749121E-3</v>
      </c>
      <c r="CR3">
        <v>5.1502957695488405E-3</v>
      </c>
      <c r="CS3">
        <v>5.1604067863670888E-3</v>
      </c>
      <c r="CT3">
        <v>5.1873804080529995E-3</v>
      </c>
      <c r="CU3">
        <v>5.4054317201841506E-3</v>
      </c>
      <c r="CV3">
        <v>5.4733060417566648E-3</v>
      </c>
      <c r="CW3">
        <v>5.7230119379113598E-3</v>
      </c>
      <c r="CX3">
        <v>5.7460991498926584E-3</v>
      </c>
      <c r="CY3">
        <v>5.8150154184488656E-3</v>
      </c>
      <c r="CZ3">
        <v>6.1619189342947411E-3</v>
      </c>
      <c r="DA3">
        <v>6.2361661766671128E-3</v>
      </c>
      <c r="DB3">
        <v>6.4625664432622631E-3</v>
      </c>
      <c r="DC3">
        <v>6.5759757436801847E-3</v>
      </c>
      <c r="DD3">
        <v>6.5845894381246772E-3</v>
      </c>
      <c r="DE3">
        <v>6.6150043732345898E-3</v>
      </c>
      <c r="DF3">
        <v>7.2783197731935978E-3</v>
      </c>
      <c r="DG3">
        <v>7.3071877575237032E-3</v>
      </c>
      <c r="DH3">
        <v>7.3112983976919566E-3</v>
      </c>
      <c r="DI3">
        <v>8.1144327525057847E-3</v>
      </c>
      <c r="DJ3">
        <v>8.3064882100072346E-3</v>
      </c>
      <c r="DK3">
        <v>8.5822452246623326E-3</v>
      </c>
      <c r="DL3">
        <v>8.6968800897031517E-3</v>
      </c>
      <c r="DM3">
        <v>8.7623347294089049E-3</v>
      </c>
      <c r="DN3">
        <v>8.8787769186444709E-3</v>
      </c>
      <c r="DO3">
        <v>8.9025465800782744E-3</v>
      </c>
      <c r="DP3">
        <v>9.4936019624465295E-3</v>
      </c>
      <c r="DQ3">
        <v>9.5908748016461098E-3</v>
      </c>
      <c r="DR3">
        <v>9.8229948900192543E-3</v>
      </c>
      <c r="DS3">
        <v>9.8392669949336486E-3</v>
      </c>
      <c r="DT3">
        <v>1.1225209810011294E-2</v>
      </c>
      <c r="DU3">
        <v>1.2916418327736379E-2</v>
      </c>
      <c r="DV3">
        <v>1.3501030389674651E-2</v>
      </c>
      <c r="DW3">
        <v>1.5294374849522563E-2</v>
      </c>
      <c r="DX3">
        <v>1.671335785534489E-2</v>
      </c>
      <c r="DY3">
        <v>1.6856865634009566E-2</v>
      </c>
      <c r="DZ3">
        <v>1.6917024502850708E-2</v>
      </c>
      <c r="EA3">
        <v>1.6955344648225124E-2</v>
      </c>
      <c r="EB3">
        <v>1.7759151227175418E-2</v>
      </c>
      <c r="EC3">
        <v>2.4577411175911834E-2</v>
      </c>
      <c r="ED3">
        <v>2.4612220910091853E-2</v>
      </c>
      <c r="EE3">
        <v>2.4744920174289531E-2</v>
      </c>
      <c r="EF3">
        <v>2.6209191272684396E-2</v>
      </c>
      <c r="EG3">
        <v>4.0877812847125439E-2</v>
      </c>
      <c r="EH3">
        <v>5.7794804439792347E-2</v>
      </c>
      <c r="EI3">
        <v>6.0469836189367965E-2</v>
      </c>
      <c r="EJ3">
        <v>6.0993123237509494E-2</v>
      </c>
      <c r="EK3">
        <v>6.1208716859892487E-2</v>
      </c>
      <c r="EL3">
        <v>6.360412462041154E-2</v>
      </c>
      <c r="EM3">
        <v>8.162522825696783E-2</v>
      </c>
      <c r="EN3">
        <v>9.2790105084007424E-2</v>
      </c>
      <c r="EO3">
        <v>0.10005979418492739</v>
      </c>
      <c r="EP3">
        <v>0.11497373856944637</v>
      </c>
      <c r="EQ3">
        <v>0.12568358223386966</v>
      </c>
      <c r="ER3">
        <v>0.13029063202591473</v>
      </c>
      <c r="ES3">
        <v>0.14688918021010755</v>
      </c>
      <c r="ET3">
        <v>0.14846094660726816</v>
      </c>
      <c r="EU3">
        <v>0.14956302661259513</v>
      </c>
      <c r="EV3">
        <v>0.15041998795777034</v>
      </c>
      <c r="EW3">
        <v>0.15505862040049823</v>
      </c>
      <c r="EX3">
        <v>0.16230997587212359</v>
      </c>
      <c r="EY3">
        <v>0.17332589106896557</v>
      </c>
      <c r="EZ3">
        <v>0.18263353702874319</v>
      </c>
      <c r="FA3">
        <v>0.18293151900170102</v>
      </c>
      <c r="FB3">
        <v>0.18455173478633291</v>
      </c>
      <c r="FC3">
        <v>0.18956176423375992</v>
      </c>
      <c r="FD3">
        <v>0.21716786795207677</v>
      </c>
      <c r="FE3">
        <v>0.21838675703508892</v>
      </c>
      <c r="FF3">
        <v>0.22822934886829727</v>
      </c>
      <c r="FG3">
        <v>0.24137137886860505</v>
      </c>
      <c r="FH3">
        <v>0.24614864199224573</v>
      </c>
      <c r="FI3">
        <v>0.25090595155550843</v>
      </c>
      <c r="FJ3">
        <v>0.26091192184920897</v>
      </c>
      <c r="FK3">
        <v>0.26944059823336353</v>
      </c>
      <c r="FL3">
        <v>0.27808893194883233</v>
      </c>
      <c r="FM3">
        <v>0.28162781692815952</v>
      </c>
      <c r="FN3">
        <v>0.28292539151147855</v>
      </c>
      <c r="FO3">
        <v>0.28950053484009464</v>
      </c>
      <c r="FP3">
        <v>0.29664218284810939</v>
      </c>
      <c r="FQ3">
        <v>0.30457171986754916</v>
      </c>
      <c r="FR3">
        <v>0.30975432081240639</v>
      </c>
      <c r="FS3">
        <v>0.30996389545286041</v>
      </c>
      <c r="FT3">
        <v>0.31326290900201414</v>
      </c>
      <c r="FU3">
        <v>0.31598430790138465</v>
      </c>
      <c r="FV3">
        <v>0.31600971205935524</v>
      </c>
      <c r="FW3">
        <v>0.32202835564798682</v>
      </c>
      <c r="FX3">
        <v>0.3238705453277444</v>
      </c>
      <c r="FY3">
        <v>0.33711478981471499</v>
      </c>
      <c r="FZ3">
        <v>0.33967689703719017</v>
      </c>
      <c r="GA3">
        <v>0.34185223666116615</v>
      </c>
      <c r="GB3">
        <v>0.34241745665115608</v>
      </c>
      <c r="GC3">
        <v>0.34300806392806904</v>
      </c>
      <c r="GD3">
        <v>0.34525092191275863</v>
      </c>
      <c r="GE3">
        <v>0.35916515888684952</v>
      </c>
      <c r="GF3">
        <v>0.36469352225981222</v>
      </c>
      <c r="GG3">
        <v>0.38651877354085729</v>
      </c>
      <c r="GH3">
        <v>0.39492259161900545</v>
      </c>
      <c r="GI3">
        <v>0.39493481759243787</v>
      </c>
      <c r="GJ3">
        <v>0.39853838509336148</v>
      </c>
      <c r="GK3">
        <v>0.40655527858627227</v>
      </c>
      <c r="GL3">
        <v>0.41148553990733061</v>
      </c>
      <c r="GM3">
        <v>0.41586502067244091</v>
      </c>
      <c r="GN3">
        <v>0.42057096523510085</v>
      </c>
      <c r="GO3">
        <v>0.4218147126531413</v>
      </c>
      <c r="GP3">
        <v>0.43066570826014672</v>
      </c>
      <c r="GQ3">
        <v>0.45115704183292515</v>
      </c>
      <c r="GR3">
        <v>0.45750937153194904</v>
      </c>
      <c r="GS3">
        <v>0.47481623877534884</v>
      </c>
      <c r="GT3">
        <v>0.48050736571064101</v>
      </c>
      <c r="GU3">
        <v>0.4891938036221084</v>
      </c>
      <c r="GV3">
        <v>0.49127806545209729</v>
      </c>
      <c r="GW3">
        <v>0.49360089566271048</v>
      </c>
      <c r="GX3">
        <v>0.49417641425979997</v>
      </c>
      <c r="GY3">
        <v>0.49630835008974239</v>
      </c>
      <c r="GZ3">
        <v>0.49657602164351389</v>
      </c>
      <c r="HA3">
        <v>0.50057629590774622</v>
      </c>
      <c r="HB3">
        <v>0.51058544908531323</v>
      </c>
      <c r="HC3">
        <v>0.51237960438636221</v>
      </c>
      <c r="HD3">
        <v>0.5167344705720569</v>
      </c>
      <c r="HE3">
        <v>0.52736699711954338</v>
      </c>
      <c r="HF3">
        <v>0.5278391499433559</v>
      </c>
      <c r="HG3">
        <v>0.53051966997077904</v>
      </c>
      <c r="HH3">
        <v>0.53751601660483428</v>
      </c>
      <c r="HI3">
        <v>0.53903203565706281</v>
      </c>
      <c r="HJ3">
        <v>0.54180880760452943</v>
      </c>
      <c r="HK3">
        <v>0.54610159692287641</v>
      </c>
      <c r="HL3">
        <v>0.55319516273791769</v>
      </c>
      <c r="HM3">
        <v>0.55945874552714181</v>
      </c>
      <c r="HN3">
        <v>0.5605971416648623</v>
      </c>
      <c r="HO3">
        <v>0.5636567491023794</v>
      </c>
      <c r="HP3">
        <v>0.56709650220524321</v>
      </c>
      <c r="HQ3">
        <v>0.5705031361272157</v>
      </c>
      <c r="HR3">
        <v>0.571366588330807</v>
      </c>
      <c r="HS3">
        <v>0.57373547378341649</v>
      </c>
      <c r="HT3">
        <v>0.58236075897180106</v>
      </c>
      <c r="HU3">
        <v>0.59163425094346034</v>
      </c>
      <c r="HV3">
        <v>0.60002520356019695</v>
      </c>
      <c r="HW3">
        <v>0.60291234886056477</v>
      </c>
      <c r="HX3">
        <v>0.60402479444705981</v>
      </c>
      <c r="HY3">
        <v>0.60570275592342704</v>
      </c>
      <c r="HZ3">
        <v>0.60940799337196538</v>
      </c>
      <c r="IA3">
        <v>0.61383618765589931</v>
      </c>
      <c r="IB3">
        <v>0.61593033051128909</v>
      </c>
      <c r="IC3">
        <v>0.61613610562535892</v>
      </c>
      <c r="ID3">
        <v>0.61930937951307019</v>
      </c>
      <c r="IE3">
        <v>0.62018129978328784</v>
      </c>
      <c r="IF3">
        <v>0.62746187684951504</v>
      </c>
      <c r="IG3">
        <v>0.62803157656864594</v>
      </c>
      <c r="IH3">
        <v>0.62968565986290237</v>
      </c>
      <c r="II3">
        <v>0.63316139783932035</v>
      </c>
      <c r="IJ3">
        <v>0.63875768676259959</v>
      </c>
      <c r="IK3">
        <v>0.63963596321618876</v>
      </c>
      <c r="IL3">
        <v>0.64040885740512543</v>
      </c>
      <c r="IM3">
        <v>0.64330102528590727</v>
      </c>
      <c r="IN3">
        <v>0.64831614196840537</v>
      </c>
      <c r="IO3">
        <v>0.65257647683440212</v>
      </c>
      <c r="IP3">
        <v>0.65483937537572712</v>
      </c>
      <c r="IQ3">
        <v>0.65979804428476463</v>
      </c>
      <c r="IR3">
        <v>0.6646198274904801</v>
      </c>
      <c r="IS3">
        <v>0.66544829487039592</v>
      </c>
      <c r="IT3">
        <v>0.6657442450991663</v>
      </c>
      <c r="IU3">
        <v>0.66977459028694009</v>
      </c>
      <c r="IV3">
        <v>0.66999819386910553</v>
      </c>
      <c r="IW3">
        <v>0.67050453465376703</v>
      </c>
      <c r="IX3">
        <v>0.67381298680610291</v>
      </c>
      <c r="IY3">
        <v>0.69944202730539362</v>
      </c>
      <c r="IZ3">
        <v>0.70013622955492094</v>
      </c>
      <c r="JA3">
        <v>0.70207640704513463</v>
      </c>
      <c r="JB3">
        <v>0.71254779073105645</v>
      </c>
      <c r="JC3">
        <v>0.71464343057447244</v>
      </c>
      <c r="JD3">
        <v>0.71625829260252782</v>
      </c>
      <c r="JE3">
        <v>0.71831769233134324</v>
      </c>
      <c r="JF3">
        <v>0.72691986481990756</v>
      </c>
      <c r="JG3">
        <v>0.74376546634870744</v>
      </c>
      <c r="JH3">
        <v>0.75594765934393604</v>
      </c>
      <c r="JI3">
        <v>0.75971927276478923</v>
      </c>
      <c r="JJ3">
        <v>0.76608429129926858</v>
      </c>
      <c r="JK3">
        <v>0.77206116847408868</v>
      </c>
      <c r="JL3">
        <v>0.7846922528654362</v>
      </c>
      <c r="JM3">
        <v>0.78595137634265311</v>
      </c>
      <c r="JN3">
        <v>0.78696770415871486</v>
      </c>
      <c r="JO3">
        <v>0.79749086291209892</v>
      </c>
      <c r="JP3">
        <v>0.79765351073598367</v>
      </c>
      <c r="JQ3">
        <v>0.79989928834332691</v>
      </c>
      <c r="JR3">
        <v>0.80571582634245764</v>
      </c>
      <c r="JS3">
        <v>0.81991242438141321</v>
      </c>
      <c r="JT3">
        <v>0.82119224463774343</v>
      </c>
      <c r="JU3">
        <v>0.83137542052311542</v>
      </c>
      <c r="JV3">
        <v>0.8315121135305148</v>
      </c>
      <c r="JW3">
        <v>0.83241150659604446</v>
      </c>
      <c r="JX3">
        <v>0.83636945006945651</v>
      </c>
      <c r="JY3">
        <v>0.84189016260420535</v>
      </c>
      <c r="JZ3">
        <v>0.84471757724284768</v>
      </c>
      <c r="KA3">
        <v>0.85278910015541087</v>
      </c>
      <c r="KB3">
        <v>0.85282368695609956</v>
      </c>
      <c r="KC3">
        <v>0.85607180007973649</v>
      </c>
      <c r="KD3">
        <v>0.87965109840613054</v>
      </c>
      <c r="KE3">
        <v>0.88085607654342535</v>
      </c>
      <c r="KF3">
        <v>0.8895040240576626</v>
      </c>
      <c r="KG3">
        <v>0.89491171503199984</v>
      </c>
      <c r="KH3">
        <v>0.89568533493445135</v>
      </c>
      <c r="KI3">
        <v>0.89842228991540285</v>
      </c>
      <c r="KJ3">
        <v>0.90007176748823758</v>
      </c>
      <c r="KK3">
        <v>0.91035960757467649</v>
      </c>
      <c r="KL3">
        <v>0.92708424867911765</v>
      </c>
      <c r="KM3">
        <v>0.93493522948620977</v>
      </c>
      <c r="KN3">
        <v>0.93555472101911175</v>
      </c>
      <c r="KO3">
        <v>0.9431197260216041</v>
      </c>
      <c r="KP3">
        <v>0.95253816235250299</v>
      </c>
      <c r="KQ3">
        <v>0.95474640609042316</v>
      </c>
      <c r="KR3">
        <v>0.95897448041604805</v>
      </c>
      <c r="KS3">
        <v>0.96205026925652914</v>
      </c>
      <c r="KT3">
        <v>0.99544350088675493</v>
      </c>
      <c r="KU3">
        <v>1</v>
      </c>
      <c r="KV3">
        <v>1</v>
      </c>
      <c r="KW3">
        <v>1</v>
      </c>
      <c r="KX3">
        <v>1</v>
      </c>
      <c r="KY3">
        <v>1</v>
      </c>
      <c r="KZ3">
        <v>1</v>
      </c>
      <c r="LA3">
        <v>1</v>
      </c>
      <c r="LB3">
        <v>1</v>
      </c>
      <c r="LC3">
        <v>1</v>
      </c>
      <c r="LD3">
        <v>1</v>
      </c>
      <c r="LE3">
        <v>1</v>
      </c>
      <c r="LF3">
        <v>1</v>
      </c>
      <c r="LG3">
        <v>1</v>
      </c>
      <c r="LH3">
        <v>1</v>
      </c>
      <c r="LI3">
        <v>1</v>
      </c>
      <c r="LJ3">
        <v>1</v>
      </c>
      <c r="LK3">
        <v>1</v>
      </c>
      <c r="LL3">
        <v>1</v>
      </c>
      <c r="LM3">
        <v>1</v>
      </c>
      <c r="LN3">
        <v>1</v>
      </c>
      <c r="LO3">
        <v>1</v>
      </c>
      <c r="LP3">
        <v>1</v>
      </c>
      <c r="LQ3">
        <v>1</v>
      </c>
      <c r="LR3">
        <v>1</v>
      </c>
      <c r="LS3">
        <v>1</v>
      </c>
      <c r="LT3">
        <v>1</v>
      </c>
      <c r="LU3">
        <v>1</v>
      </c>
      <c r="LV3">
        <v>1</v>
      </c>
      <c r="LW3">
        <v>1</v>
      </c>
      <c r="LX3">
        <v>1</v>
      </c>
      <c r="LY3">
        <v>1</v>
      </c>
      <c r="LZ3">
        <v>1</v>
      </c>
      <c r="MA3">
        <v>1</v>
      </c>
      <c r="MB3">
        <v>1</v>
      </c>
      <c r="MC3">
        <v>1</v>
      </c>
      <c r="MD3">
        <v>1</v>
      </c>
      <c r="ME3">
        <v>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909A-BFFB-4E51-87C0-66041265FF1B}">
  <dimension ref="A1:K47"/>
  <sheetViews>
    <sheetView topLeftCell="A19" workbookViewId="0">
      <selection activeCell="D48" sqref="D48"/>
    </sheetView>
  </sheetViews>
  <sheetFormatPr defaultRowHeight="15" x14ac:dyDescent="0.25"/>
  <cols>
    <col min="1" max="1" width="38.85546875" customWidth="1"/>
    <col min="2" max="12" width="15.140625" customWidth="1"/>
  </cols>
  <sheetData>
    <row r="1" spans="1:11" x14ac:dyDescent="0.25">
      <c r="A1" t="s">
        <v>480</v>
      </c>
    </row>
    <row r="2" spans="1:11" x14ac:dyDescent="0.25">
      <c r="G2">
        <f>1800*13</f>
        <v>23400</v>
      </c>
    </row>
    <row r="4" spans="1:11" x14ac:dyDescent="0.25">
      <c r="A4" t="s">
        <v>481</v>
      </c>
      <c r="B4" t="s">
        <v>482</v>
      </c>
      <c r="C4" t="s">
        <v>482</v>
      </c>
      <c r="D4" t="s">
        <v>482</v>
      </c>
      <c r="E4" t="s">
        <v>482</v>
      </c>
      <c r="H4" t="s">
        <v>518</v>
      </c>
      <c r="I4" t="s">
        <v>518</v>
      </c>
      <c r="J4" t="s">
        <v>518</v>
      </c>
      <c r="K4" t="s">
        <v>518</v>
      </c>
    </row>
    <row r="5" spans="1:11" x14ac:dyDescent="0.25">
      <c r="A5" t="s">
        <v>483</v>
      </c>
      <c r="B5" t="s">
        <v>519</v>
      </c>
      <c r="C5" t="s">
        <v>520</v>
      </c>
      <c r="D5" t="s">
        <v>484</v>
      </c>
      <c r="E5" t="s">
        <v>485</v>
      </c>
      <c r="H5" t="s">
        <v>519</v>
      </c>
      <c r="I5" t="s">
        <v>520</v>
      </c>
      <c r="J5" t="s">
        <v>484</v>
      </c>
      <c r="K5" t="s">
        <v>485</v>
      </c>
    </row>
    <row r="6" spans="1:11" x14ac:dyDescent="0.25">
      <c r="A6" t="s">
        <v>486</v>
      </c>
      <c r="B6" t="s">
        <v>487</v>
      </c>
      <c r="C6" t="s">
        <v>487</v>
      </c>
      <c r="D6" t="s">
        <v>487</v>
      </c>
      <c r="E6" t="s">
        <v>487</v>
      </c>
      <c r="H6" t="s">
        <v>487</v>
      </c>
      <c r="I6" t="s">
        <v>487</v>
      </c>
      <c r="J6" t="s">
        <v>487</v>
      </c>
      <c r="K6" t="s">
        <v>487</v>
      </c>
    </row>
    <row r="7" spans="1:11" x14ac:dyDescent="0.25">
      <c r="A7" t="s">
        <v>488</v>
      </c>
      <c r="B7" t="s">
        <v>521</v>
      </c>
      <c r="C7" t="s">
        <v>522</v>
      </c>
      <c r="D7" t="s">
        <v>489</v>
      </c>
      <c r="E7" t="s">
        <v>489</v>
      </c>
      <c r="H7" t="s">
        <v>521</v>
      </c>
      <c r="I7" t="s">
        <v>522</v>
      </c>
      <c r="J7" t="s">
        <v>489</v>
      </c>
      <c r="K7" t="s">
        <v>489</v>
      </c>
    </row>
    <row r="8" spans="1:11" x14ac:dyDescent="0.25">
      <c r="A8" t="s">
        <v>490</v>
      </c>
      <c r="B8">
        <v>71.8</v>
      </c>
      <c r="C8">
        <v>423</v>
      </c>
      <c r="D8">
        <v>5.9</v>
      </c>
      <c r="E8">
        <v>4.5</v>
      </c>
      <c r="H8">
        <v>348.8</v>
      </c>
      <c r="I8">
        <v>12071</v>
      </c>
      <c r="J8">
        <v>34.6</v>
      </c>
      <c r="K8">
        <v>33.1</v>
      </c>
    </row>
    <row r="9" spans="1:11" x14ac:dyDescent="0.25">
      <c r="A9" t="s">
        <v>491</v>
      </c>
      <c r="B9">
        <v>71.8</v>
      </c>
      <c r="C9">
        <v>348</v>
      </c>
      <c r="D9">
        <v>4.9000000000000004</v>
      </c>
      <c r="E9">
        <v>3.7</v>
      </c>
      <c r="H9">
        <v>348.7</v>
      </c>
      <c r="I9">
        <v>9612</v>
      </c>
      <c r="J9">
        <v>27.6</v>
      </c>
      <c r="K9">
        <v>26.4</v>
      </c>
    </row>
    <row r="10" spans="1:11" x14ac:dyDescent="0.25">
      <c r="A10" t="s">
        <v>492</v>
      </c>
      <c r="B10">
        <v>0.1</v>
      </c>
      <c r="C10">
        <v>0</v>
      </c>
      <c r="D10">
        <v>0.7</v>
      </c>
      <c r="E10">
        <v>0.5</v>
      </c>
      <c r="H10">
        <v>6.4</v>
      </c>
      <c r="I10">
        <v>19</v>
      </c>
      <c r="J10">
        <v>2.9</v>
      </c>
      <c r="K10">
        <v>2.4</v>
      </c>
    </row>
    <row r="11" spans="1:11" x14ac:dyDescent="0.25">
      <c r="A11" t="s">
        <v>493</v>
      </c>
      <c r="B11">
        <v>70.400000000000006</v>
      </c>
      <c r="C11">
        <v>75</v>
      </c>
      <c r="D11">
        <v>1.1000000000000001</v>
      </c>
      <c r="E11">
        <v>0.8</v>
      </c>
      <c r="H11">
        <v>345</v>
      </c>
      <c r="I11">
        <v>2440</v>
      </c>
      <c r="J11">
        <v>7.1</v>
      </c>
      <c r="K11">
        <v>6.7</v>
      </c>
    </row>
    <row r="12" spans="1:11" x14ac:dyDescent="0.25">
      <c r="A12" t="s">
        <v>494</v>
      </c>
      <c r="B12">
        <v>6.1</v>
      </c>
      <c r="C12">
        <v>17</v>
      </c>
      <c r="D12">
        <v>2.8</v>
      </c>
      <c r="E12">
        <v>1.3</v>
      </c>
      <c r="H12">
        <v>77.8</v>
      </c>
      <c r="I12">
        <v>1160</v>
      </c>
      <c r="J12">
        <v>14.9</v>
      </c>
      <c r="K12">
        <v>9</v>
      </c>
    </row>
    <row r="13" spans="1:11" x14ac:dyDescent="0.25">
      <c r="A13" t="s">
        <v>495</v>
      </c>
      <c r="B13">
        <v>278.60000000000002</v>
      </c>
      <c r="C13">
        <v>11</v>
      </c>
      <c r="D13">
        <v>0</v>
      </c>
      <c r="E13">
        <v>0</v>
      </c>
      <c r="H13">
        <v>803.7</v>
      </c>
      <c r="I13">
        <v>927</v>
      </c>
      <c r="J13">
        <v>1.2</v>
      </c>
      <c r="K13">
        <v>0</v>
      </c>
    </row>
    <row r="14" spans="1:11" x14ac:dyDescent="0.25">
      <c r="A14" t="s">
        <v>496</v>
      </c>
      <c r="B14">
        <v>278.60000000000002</v>
      </c>
      <c r="C14">
        <v>452</v>
      </c>
      <c r="D14">
        <v>1.6</v>
      </c>
      <c r="E14">
        <v>0</v>
      </c>
      <c r="H14">
        <v>803.7</v>
      </c>
      <c r="I14">
        <v>14158</v>
      </c>
      <c r="J14">
        <v>17.600000000000001</v>
      </c>
      <c r="K14">
        <v>7</v>
      </c>
    </row>
    <row r="15" spans="1:11" x14ac:dyDescent="0.25">
      <c r="A15" t="s">
        <v>497</v>
      </c>
      <c r="B15">
        <v>33.4</v>
      </c>
      <c r="C15">
        <v>142</v>
      </c>
      <c r="D15">
        <v>4.2</v>
      </c>
      <c r="E15">
        <v>3.1</v>
      </c>
      <c r="H15">
        <v>544.20000000000005</v>
      </c>
      <c r="I15">
        <v>12712</v>
      </c>
      <c r="J15">
        <v>23.4</v>
      </c>
      <c r="K15">
        <v>23.2</v>
      </c>
    </row>
    <row r="16" spans="1:11" x14ac:dyDescent="0.25">
      <c r="A16" t="s">
        <v>498</v>
      </c>
      <c r="B16">
        <v>278.60000000000002</v>
      </c>
      <c r="C16">
        <v>5639</v>
      </c>
      <c r="D16">
        <v>20.2</v>
      </c>
      <c r="E16">
        <v>19.100000000000001</v>
      </c>
      <c r="F16" s="85">
        <f>C16/B$16</f>
        <v>20.240488155061019</v>
      </c>
      <c r="H16">
        <v>803.7</v>
      </c>
      <c r="I16">
        <v>1782</v>
      </c>
      <c r="J16">
        <v>2.2000000000000002</v>
      </c>
      <c r="K16">
        <v>0.4</v>
      </c>
    </row>
    <row r="17" spans="1:11" x14ac:dyDescent="0.25">
      <c r="A17" t="s">
        <v>499</v>
      </c>
      <c r="B17">
        <v>278.60000000000002</v>
      </c>
      <c r="C17">
        <v>4691</v>
      </c>
      <c r="D17">
        <v>16.8</v>
      </c>
      <c r="E17">
        <v>18</v>
      </c>
      <c r="F17" s="85">
        <f t="shared" ref="F17:F34" si="0">C17/B$16</f>
        <v>16.837760229720029</v>
      </c>
      <c r="H17">
        <v>803.7</v>
      </c>
      <c r="I17">
        <v>1020</v>
      </c>
      <c r="J17">
        <v>1.3</v>
      </c>
      <c r="K17">
        <v>0.4</v>
      </c>
    </row>
    <row r="18" spans="1:11" x14ac:dyDescent="0.25">
      <c r="A18" t="s">
        <v>500</v>
      </c>
      <c r="B18">
        <v>278.60000000000002</v>
      </c>
      <c r="C18">
        <v>4236</v>
      </c>
      <c r="D18">
        <v>15.2</v>
      </c>
      <c r="E18">
        <v>16.3</v>
      </c>
      <c r="F18" s="85">
        <f t="shared" si="0"/>
        <v>15.204594400574299</v>
      </c>
      <c r="H18">
        <v>28.8</v>
      </c>
      <c r="I18">
        <v>238</v>
      </c>
      <c r="J18">
        <v>8.3000000000000007</v>
      </c>
      <c r="K18">
        <v>7.7</v>
      </c>
    </row>
    <row r="19" spans="1:11" x14ac:dyDescent="0.25">
      <c r="A19" t="s">
        <v>501</v>
      </c>
      <c r="B19">
        <v>278.60000000000002</v>
      </c>
      <c r="C19">
        <v>454</v>
      </c>
      <c r="D19">
        <v>1.6</v>
      </c>
      <c r="E19">
        <v>1.7</v>
      </c>
      <c r="F19" s="85">
        <f t="shared" si="0"/>
        <v>1.6295764536970565</v>
      </c>
      <c r="H19">
        <v>803.7</v>
      </c>
      <c r="I19">
        <v>783</v>
      </c>
      <c r="J19">
        <v>1</v>
      </c>
      <c r="K19">
        <v>0.4</v>
      </c>
    </row>
    <row r="20" spans="1:11" x14ac:dyDescent="0.25">
      <c r="A20" t="s">
        <v>502</v>
      </c>
      <c r="B20">
        <v>277.10000000000002</v>
      </c>
      <c r="C20">
        <v>288</v>
      </c>
      <c r="D20">
        <v>1</v>
      </c>
      <c r="E20">
        <v>1.1000000000000001</v>
      </c>
      <c r="F20" s="85">
        <f t="shared" si="0"/>
        <v>1.0337401292175161</v>
      </c>
      <c r="H20">
        <v>55.8</v>
      </c>
      <c r="I20">
        <v>37</v>
      </c>
      <c r="J20">
        <v>0.7</v>
      </c>
      <c r="K20">
        <v>0.6</v>
      </c>
    </row>
    <row r="21" spans="1:11" x14ac:dyDescent="0.25">
      <c r="A21" t="s">
        <v>503</v>
      </c>
      <c r="B21">
        <v>82.2</v>
      </c>
      <c r="C21">
        <v>550</v>
      </c>
      <c r="D21">
        <v>6.7</v>
      </c>
      <c r="E21">
        <v>6.2</v>
      </c>
      <c r="F21" s="85">
        <f t="shared" si="0"/>
        <v>1.974156496769562</v>
      </c>
      <c r="H21">
        <v>120.7</v>
      </c>
      <c r="I21">
        <v>594</v>
      </c>
      <c r="J21">
        <v>4.9000000000000004</v>
      </c>
      <c r="K21">
        <v>4.9000000000000004</v>
      </c>
    </row>
    <row r="22" spans="1:11" x14ac:dyDescent="0.25">
      <c r="A22" t="s">
        <v>504</v>
      </c>
      <c r="B22">
        <v>78.3</v>
      </c>
      <c r="C22">
        <v>180</v>
      </c>
      <c r="D22">
        <v>2.2999999999999998</v>
      </c>
      <c r="E22">
        <v>2</v>
      </c>
      <c r="F22" s="85">
        <f t="shared" si="0"/>
        <v>0.64608758076094752</v>
      </c>
      <c r="H22">
        <v>116</v>
      </c>
      <c r="I22">
        <v>242</v>
      </c>
      <c r="J22">
        <v>2.1</v>
      </c>
      <c r="K22">
        <v>2</v>
      </c>
    </row>
    <row r="23" spans="1:11" x14ac:dyDescent="0.25">
      <c r="A23" t="s">
        <v>505</v>
      </c>
      <c r="B23">
        <v>81.900000000000006</v>
      </c>
      <c r="C23">
        <v>371</v>
      </c>
      <c r="D23">
        <v>4.5</v>
      </c>
      <c r="E23">
        <v>4.7</v>
      </c>
      <c r="F23" s="85">
        <f t="shared" si="0"/>
        <v>1.3316582914572863</v>
      </c>
      <c r="H23">
        <v>107.2</v>
      </c>
      <c r="I23">
        <v>353</v>
      </c>
      <c r="J23">
        <v>3.3</v>
      </c>
      <c r="K23">
        <v>3.1</v>
      </c>
    </row>
    <row r="24" spans="1:11" x14ac:dyDescent="0.25">
      <c r="A24" t="s">
        <v>506</v>
      </c>
      <c r="B24">
        <v>25.8</v>
      </c>
      <c r="C24">
        <v>111</v>
      </c>
      <c r="D24">
        <v>4.3</v>
      </c>
      <c r="E24">
        <v>4.5</v>
      </c>
      <c r="F24" s="85">
        <f t="shared" si="0"/>
        <v>0.39842067480258431</v>
      </c>
      <c r="H24">
        <v>34.799999999999997</v>
      </c>
      <c r="I24">
        <v>130</v>
      </c>
      <c r="J24">
        <v>3.7</v>
      </c>
      <c r="K24">
        <v>3.4</v>
      </c>
    </row>
    <row r="25" spans="1:11" x14ac:dyDescent="0.25">
      <c r="A25" t="s">
        <v>507</v>
      </c>
      <c r="B25">
        <v>255</v>
      </c>
      <c r="C25">
        <v>836</v>
      </c>
      <c r="D25">
        <v>3.3</v>
      </c>
      <c r="E25">
        <v>3.5</v>
      </c>
      <c r="F25" s="85">
        <f t="shared" si="0"/>
        <v>3.0007178750897343</v>
      </c>
      <c r="H25">
        <v>360</v>
      </c>
      <c r="I25">
        <v>899</v>
      </c>
      <c r="J25">
        <v>2.5</v>
      </c>
      <c r="K25">
        <v>2.6</v>
      </c>
    </row>
    <row r="26" spans="1:11" x14ac:dyDescent="0.25">
      <c r="A26" t="s">
        <v>508</v>
      </c>
      <c r="B26">
        <v>254.9</v>
      </c>
      <c r="C26">
        <v>834</v>
      </c>
      <c r="D26">
        <v>3.3</v>
      </c>
      <c r="E26">
        <v>3.5</v>
      </c>
      <c r="F26" s="85">
        <f t="shared" si="0"/>
        <v>2.9935391241923903</v>
      </c>
      <c r="H26">
        <v>359.4</v>
      </c>
      <c r="I26">
        <v>898</v>
      </c>
      <c r="J26">
        <v>2.5</v>
      </c>
      <c r="K26">
        <v>2.6</v>
      </c>
    </row>
    <row r="27" spans="1:11" x14ac:dyDescent="0.25">
      <c r="A27" t="s">
        <v>509</v>
      </c>
      <c r="B27">
        <v>2.7</v>
      </c>
      <c r="C27">
        <v>2</v>
      </c>
      <c r="D27">
        <v>0.7</v>
      </c>
      <c r="E27">
        <v>0.6</v>
      </c>
      <c r="F27" s="85">
        <f t="shared" si="0"/>
        <v>7.1787508973438618E-3</v>
      </c>
      <c r="H27">
        <v>1.7</v>
      </c>
      <c r="I27">
        <v>1</v>
      </c>
      <c r="J27">
        <v>0.7</v>
      </c>
      <c r="K27">
        <v>0.6</v>
      </c>
    </row>
    <row r="28" spans="1:11" x14ac:dyDescent="0.25">
      <c r="A28" t="s">
        <v>510</v>
      </c>
      <c r="B28">
        <v>0.3</v>
      </c>
      <c r="C28">
        <v>1</v>
      </c>
      <c r="D28">
        <v>3.1</v>
      </c>
      <c r="E28">
        <v>2.4</v>
      </c>
      <c r="F28" s="85">
        <f t="shared" si="0"/>
        <v>3.5893754486719309E-3</v>
      </c>
      <c r="H28">
        <v>5.3</v>
      </c>
      <c r="I28">
        <v>37</v>
      </c>
      <c r="J28">
        <v>6.9</v>
      </c>
      <c r="K28">
        <v>4.2</v>
      </c>
    </row>
    <row r="29" spans="1:11" x14ac:dyDescent="0.25">
      <c r="A29" t="s">
        <v>511</v>
      </c>
      <c r="B29">
        <v>278.60000000000002</v>
      </c>
      <c r="C29">
        <v>7070</v>
      </c>
      <c r="D29">
        <v>25.4</v>
      </c>
      <c r="E29">
        <v>23</v>
      </c>
      <c r="F29" s="85">
        <f t="shared" si="0"/>
        <v>25.37688442211055</v>
      </c>
      <c r="H29">
        <v>803.7</v>
      </c>
      <c r="I29">
        <v>29587</v>
      </c>
      <c r="J29">
        <v>36.799999999999997</v>
      </c>
      <c r="K29">
        <v>34.200000000000003</v>
      </c>
    </row>
    <row r="30" spans="1:11" x14ac:dyDescent="0.25">
      <c r="A30" t="s">
        <v>512</v>
      </c>
      <c r="B30">
        <v>0.2</v>
      </c>
      <c r="C30">
        <v>0</v>
      </c>
      <c r="D30">
        <v>2.1</v>
      </c>
      <c r="E30">
        <v>1.4</v>
      </c>
      <c r="F30" s="85">
        <f t="shared" si="0"/>
        <v>0</v>
      </c>
      <c r="H30">
        <v>2.9</v>
      </c>
      <c r="I30">
        <v>14</v>
      </c>
      <c r="J30">
        <v>4.8</v>
      </c>
      <c r="K30">
        <v>2.2000000000000002</v>
      </c>
    </row>
    <row r="31" spans="1:11" x14ac:dyDescent="0.25">
      <c r="A31" t="s">
        <v>513</v>
      </c>
      <c r="B31">
        <v>264.60000000000002</v>
      </c>
      <c r="C31">
        <v>414</v>
      </c>
      <c r="D31">
        <v>1.6</v>
      </c>
      <c r="E31">
        <v>1.5</v>
      </c>
      <c r="F31" s="85">
        <f t="shared" si="0"/>
        <v>1.4860014357501794</v>
      </c>
      <c r="H31">
        <v>661.9</v>
      </c>
      <c r="I31">
        <v>3116</v>
      </c>
      <c r="J31">
        <v>4.7</v>
      </c>
      <c r="K31">
        <v>3.8</v>
      </c>
    </row>
    <row r="32" spans="1:11" x14ac:dyDescent="0.25">
      <c r="A32" t="s">
        <v>514</v>
      </c>
      <c r="B32">
        <v>278.60000000000002</v>
      </c>
      <c r="C32">
        <v>660</v>
      </c>
      <c r="D32">
        <v>2.4</v>
      </c>
      <c r="E32">
        <v>2.2999999999999998</v>
      </c>
      <c r="F32" s="85">
        <f t="shared" si="0"/>
        <v>2.3689877961234744</v>
      </c>
      <c r="H32">
        <v>803.7</v>
      </c>
      <c r="I32">
        <v>3159</v>
      </c>
      <c r="J32">
        <v>3.9</v>
      </c>
      <c r="K32">
        <v>3.4</v>
      </c>
    </row>
    <row r="33" spans="1:11" x14ac:dyDescent="0.25">
      <c r="A33" t="s">
        <v>515</v>
      </c>
      <c r="B33">
        <v>263.39999999999998</v>
      </c>
      <c r="C33">
        <v>183</v>
      </c>
      <c r="D33">
        <v>0.7</v>
      </c>
      <c r="E33">
        <v>0.8</v>
      </c>
      <c r="F33" s="85">
        <f t="shared" si="0"/>
        <v>0.65685570710696328</v>
      </c>
      <c r="H33">
        <v>710.8</v>
      </c>
      <c r="I33">
        <v>786</v>
      </c>
      <c r="J33">
        <v>1.1000000000000001</v>
      </c>
      <c r="K33">
        <v>0.7</v>
      </c>
    </row>
    <row r="34" spans="1:11" x14ac:dyDescent="0.25">
      <c r="A34" t="s">
        <v>516</v>
      </c>
      <c r="B34">
        <v>278.60000000000002</v>
      </c>
      <c r="C34">
        <v>5812</v>
      </c>
      <c r="D34">
        <v>20.9</v>
      </c>
      <c r="E34">
        <v>18.399999999999999</v>
      </c>
      <c r="F34" s="85">
        <f t="shared" si="0"/>
        <v>20.861450107681261</v>
      </c>
      <c r="H34">
        <v>803.7</v>
      </c>
      <c r="I34">
        <v>22512</v>
      </c>
      <c r="J34">
        <v>28</v>
      </c>
      <c r="K34">
        <v>23.8</v>
      </c>
    </row>
    <row r="35" spans="1:11" x14ac:dyDescent="0.25">
      <c r="A35" t="s">
        <v>517</v>
      </c>
    </row>
    <row r="38" spans="1:11" x14ac:dyDescent="0.25">
      <c r="A38" t="s">
        <v>523</v>
      </c>
      <c r="B38" s="85">
        <f>F17+F20</f>
        <v>17.871500358937546</v>
      </c>
      <c r="D38">
        <f>K9</f>
        <v>26.4</v>
      </c>
    </row>
    <row r="39" spans="1:11" x14ac:dyDescent="0.25">
      <c r="A39" t="s">
        <v>524</v>
      </c>
      <c r="B39" s="85">
        <f>F22</f>
        <v>0.64608758076094752</v>
      </c>
      <c r="D39" s="85">
        <f>B39*K22/E22</f>
        <v>0.64608758076094752</v>
      </c>
    </row>
    <row r="40" spans="1:11" x14ac:dyDescent="0.25">
      <c r="A40" t="s">
        <v>525</v>
      </c>
      <c r="B40" s="85">
        <f>F23</f>
        <v>1.3316582914572863</v>
      </c>
      <c r="D40" s="85">
        <f>B40*K23/E23</f>
        <v>0.87832780925906118</v>
      </c>
    </row>
    <row r="41" spans="1:11" x14ac:dyDescent="0.25">
      <c r="A41" t="s">
        <v>526</v>
      </c>
      <c r="B41" s="85">
        <f>F26</f>
        <v>2.9935391241923903</v>
      </c>
      <c r="D41" s="85">
        <f>B41*K26/E26</f>
        <v>2.2237719208286331</v>
      </c>
    </row>
    <row r="42" spans="1:11" x14ac:dyDescent="0.25">
      <c r="A42" t="s">
        <v>527</v>
      </c>
      <c r="B42" s="85">
        <f>F31</f>
        <v>1.4860014357501794</v>
      </c>
      <c r="D42" s="85">
        <f>K31</f>
        <v>3.8</v>
      </c>
    </row>
    <row r="43" spans="1:11" x14ac:dyDescent="0.25">
      <c r="A43" t="s">
        <v>528</v>
      </c>
      <c r="B43" s="85">
        <f>F32</f>
        <v>2.3689877961234744</v>
      </c>
      <c r="D43" s="85">
        <f>K32</f>
        <v>3.4</v>
      </c>
    </row>
    <row r="44" spans="1:11" x14ac:dyDescent="0.25">
      <c r="A44" t="s">
        <v>529</v>
      </c>
      <c r="B44" s="85">
        <f>F33</f>
        <v>0.65685570710696328</v>
      </c>
      <c r="D44" s="85">
        <f>K33</f>
        <v>0.7</v>
      </c>
    </row>
    <row r="45" spans="1:11" x14ac:dyDescent="0.25">
      <c r="A45" t="s">
        <v>530</v>
      </c>
      <c r="B45">
        <f>B38+B39+B40+B41-B42-B43-B44</f>
        <v>18.330940416367557</v>
      </c>
      <c r="C45">
        <f>B45/B38</f>
        <v>1.0257079734886525</v>
      </c>
      <c r="D45">
        <f>D38+D39+D40+D41-D42-D43-D44</f>
        <v>22.248187310848643</v>
      </c>
    </row>
    <row r="46" spans="1:11" x14ac:dyDescent="0.25">
      <c r="B46">
        <f>B45/B38</f>
        <v>1.0257079734886525</v>
      </c>
      <c r="D46">
        <f>D45/D38</f>
        <v>0.84273436783517586</v>
      </c>
    </row>
    <row r="47" spans="1:11" x14ac:dyDescent="0.25">
      <c r="B47" s="84">
        <f>B46-1</f>
        <v>2.5707973488652502E-2</v>
      </c>
      <c r="C47" s="84"/>
      <c r="D47" s="84">
        <v>-0.15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F406-7BD5-4C7A-A36D-6F8247052D2D}">
  <dimension ref="A1:T115"/>
  <sheetViews>
    <sheetView topLeftCell="A94" workbookViewId="0">
      <selection activeCell="J113" sqref="J113"/>
    </sheetView>
  </sheetViews>
  <sheetFormatPr defaultRowHeight="15" x14ac:dyDescent="0.25"/>
  <cols>
    <col min="1" max="1" width="33.42578125" customWidth="1"/>
    <col min="2" max="5" width="9.28515625" customWidth="1"/>
    <col min="8" max="8" width="33.42578125" customWidth="1"/>
    <col min="9" max="12" width="9.28515625" customWidth="1"/>
    <col min="15" max="15" width="34.140625" customWidth="1"/>
    <col min="16" max="19" width="11.42578125" customWidth="1"/>
  </cols>
  <sheetData>
    <row r="1" spans="1:20" x14ac:dyDescent="0.25">
      <c r="A1" t="s">
        <v>480</v>
      </c>
      <c r="H1" t="s">
        <v>480</v>
      </c>
      <c r="O1" t="s">
        <v>480</v>
      </c>
    </row>
    <row r="2" spans="1:20" x14ac:dyDescent="0.25">
      <c r="A2" t="s">
        <v>567</v>
      </c>
      <c r="H2" t="s">
        <v>605</v>
      </c>
      <c r="O2" t="s">
        <v>565</v>
      </c>
    </row>
    <row r="4" spans="1:20" x14ac:dyDescent="0.25">
      <c r="A4" t="s">
        <v>483</v>
      </c>
      <c r="B4" t="s">
        <v>519</v>
      </c>
      <c r="C4" t="s">
        <v>520</v>
      </c>
      <c r="D4" t="s">
        <v>484</v>
      </c>
      <c r="E4" t="s">
        <v>485</v>
      </c>
      <c r="H4" t="s">
        <v>483</v>
      </c>
      <c r="I4" t="s">
        <v>519</v>
      </c>
      <c r="J4" t="s">
        <v>520</v>
      </c>
      <c r="K4" t="s">
        <v>484</v>
      </c>
      <c r="L4" t="s">
        <v>485</v>
      </c>
      <c r="O4" t="s">
        <v>483</v>
      </c>
      <c r="P4" t="s">
        <v>519</v>
      </c>
      <c r="Q4" t="s">
        <v>520</v>
      </c>
      <c r="R4" t="s">
        <v>484</v>
      </c>
      <c r="S4" t="s">
        <v>485</v>
      </c>
    </row>
    <row r="5" spans="1:20" x14ac:dyDescent="0.25">
      <c r="A5" t="s">
        <v>486</v>
      </c>
      <c r="B5" t="s">
        <v>487</v>
      </c>
      <c r="C5" t="s">
        <v>487</v>
      </c>
      <c r="D5" t="s">
        <v>487</v>
      </c>
      <c r="E5" t="s">
        <v>487</v>
      </c>
      <c r="H5" t="s">
        <v>486</v>
      </c>
      <c r="I5" t="s">
        <v>487</v>
      </c>
      <c r="J5" t="s">
        <v>487</v>
      </c>
      <c r="K5" t="s">
        <v>487</v>
      </c>
      <c r="L5" t="s">
        <v>487</v>
      </c>
      <c r="O5" t="s">
        <v>486</v>
      </c>
      <c r="P5" t="s">
        <v>487</v>
      </c>
      <c r="Q5" t="s">
        <v>487</v>
      </c>
      <c r="R5" t="s">
        <v>487</v>
      </c>
      <c r="S5" t="s">
        <v>487</v>
      </c>
    </row>
    <row r="6" spans="1:20" x14ac:dyDescent="0.25">
      <c r="A6" t="s">
        <v>488</v>
      </c>
      <c r="B6" t="s">
        <v>521</v>
      </c>
      <c r="C6" t="s">
        <v>522</v>
      </c>
      <c r="D6" t="s">
        <v>489</v>
      </c>
      <c r="E6" t="s">
        <v>489</v>
      </c>
      <c r="H6" t="s">
        <v>488</v>
      </c>
      <c r="I6" t="s">
        <v>521</v>
      </c>
      <c r="J6" t="s">
        <v>522</v>
      </c>
      <c r="K6" t="s">
        <v>489</v>
      </c>
      <c r="L6" t="s">
        <v>489</v>
      </c>
      <c r="O6" t="s">
        <v>488</v>
      </c>
      <c r="P6" t="s">
        <v>521</v>
      </c>
      <c r="Q6" t="s">
        <v>522</v>
      </c>
      <c r="R6" t="s">
        <v>489</v>
      </c>
      <c r="S6" t="s">
        <v>489</v>
      </c>
    </row>
    <row r="7" spans="1:20" x14ac:dyDescent="0.25">
      <c r="A7" t="s">
        <v>490</v>
      </c>
      <c r="B7">
        <v>71.8</v>
      </c>
      <c r="C7">
        <v>423</v>
      </c>
      <c r="D7">
        <v>5.9</v>
      </c>
      <c r="E7">
        <v>4.5</v>
      </c>
      <c r="H7" t="s">
        <v>490</v>
      </c>
      <c r="I7">
        <v>348.8</v>
      </c>
      <c r="J7">
        <v>12071</v>
      </c>
      <c r="K7">
        <v>34.6</v>
      </c>
      <c r="L7">
        <v>33.1</v>
      </c>
      <c r="M7">
        <f>J7/I$7</f>
        <v>34.607224770642198</v>
      </c>
      <c r="O7" t="s">
        <v>490</v>
      </c>
      <c r="P7">
        <v>273.89999999999998</v>
      </c>
      <c r="Q7">
        <v>6428</v>
      </c>
      <c r="R7">
        <v>23.5</v>
      </c>
      <c r="S7">
        <v>21.6</v>
      </c>
      <c r="T7">
        <f>Q7/P$7</f>
        <v>23.468419131069737</v>
      </c>
    </row>
    <row r="8" spans="1:20" x14ac:dyDescent="0.25">
      <c r="A8" t="s">
        <v>491</v>
      </c>
      <c r="B8">
        <v>71.8</v>
      </c>
      <c r="C8">
        <v>348</v>
      </c>
      <c r="D8">
        <v>4.9000000000000004</v>
      </c>
      <c r="E8">
        <v>3.7</v>
      </c>
      <c r="H8" t="s">
        <v>491</v>
      </c>
      <c r="I8">
        <v>348.7</v>
      </c>
      <c r="J8">
        <v>9612</v>
      </c>
      <c r="K8">
        <v>27.6</v>
      </c>
      <c r="L8" s="57">
        <v>26.4</v>
      </c>
      <c r="M8">
        <f t="shared" ref="M8:M70" si="0">J8/I$7</f>
        <v>27.557339449541285</v>
      </c>
      <c r="O8" t="s">
        <v>491</v>
      </c>
      <c r="P8">
        <v>273.89999999999998</v>
      </c>
      <c r="Q8">
        <v>5163</v>
      </c>
      <c r="R8">
        <v>18.899999999999999</v>
      </c>
      <c r="S8">
        <v>17.600000000000001</v>
      </c>
      <c r="T8">
        <f t="shared" ref="T8:T70" si="1">Q8/P$7</f>
        <v>18.849945235487407</v>
      </c>
    </row>
    <row r="9" spans="1:20" x14ac:dyDescent="0.25">
      <c r="A9" t="s">
        <v>492</v>
      </c>
      <c r="B9">
        <v>0.1</v>
      </c>
      <c r="C9">
        <v>0</v>
      </c>
      <c r="D9">
        <v>0.7</v>
      </c>
      <c r="E9">
        <v>0.5</v>
      </c>
      <c r="H9" t="s">
        <v>492</v>
      </c>
      <c r="I9">
        <v>6.4</v>
      </c>
      <c r="J9">
        <v>19</v>
      </c>
      <c r="K9">
        <v>2.9</v>
      </c>
      <c r="L9">
        <v>2.4</v>
      </c>
      <c r="M9">
        <f t="shared" si="0"/>
        <v>5.4472477064220183E-2</v>
      </c>
      <c r="O9" t="s">
        <v>492</v>
      </c>
      <c r="P9">
        <v>3.4</v>
      </c>
      <c r="Q9">
        <v>8</v>
      </c>
      <c r="R9">
        <v>2.4</v>
      </c>
      <c r="S9">
        <v>1.7</v>
      </c>
      <c r="T9">
        <f t="shared" si="1"/>
        <v>2.9207740051113547E-2</v>
      </c>
    </row>
    <row r="10" spans="1:20" x14ac:dyDescent="0.25">
      <c r="A10" t="s">
        <v>493</v>
      </c>
      <c r="B10">
        <v>70.400000000000006</v>
      </c>
      <c r="C10">
        <v>75</v>
      </c>
      <c r="D10">
        <v>1.1000000000000001</v>
      </c>
      <c r="E10">
        <v>0.8</v>
      </c>
      <c r="H10" t="s">
        <v>493</v>
      </c>
      <c r="I10">
        <v>345</v>
      </c>
      <c r="J10">
        <v>2440</v>
      </c>
      <c r="K10">
        <v>7.1</v>
      </c>
      <c r="L10" s="57">
        <v>6.7</v>
      </c>
      <c r="M10">
        <f t="shared" si="0"/>
        <v>6.9954128440366974</v>
      </c>
      <c r="O10" t="s">
        <v>493</v>
      </c>
      <c r="P10">
        <v>270</v>
      </c>
      <c r="Q10">
        <v>1257</v>
      </c>
      <c r="R10">
        <v>4.7</v>
      </c>
      <c r="S10">
        <v>4</v>
      </c>
      <c r="T10">
        <f t="shared" si="1"/>
        <v>4.5892661555312158</v>
      </c>
    </row>
    <row r="11" spans="1:20" x14ac:dyDescent="0.25">
      <c r="A11" t="s">
        <v>494</v>
      </c>
      <c r="B11">
        <v>6.1</v>
      </c>
      <c r="C11">
        <v>17</v>
      </c>
      <c r="D11">
        <v>2.8</v>
      </c>
      <c r="E11">
        <v>1.3</v>
      </c>
      <c r="H11" t="s">
        <v>494</v>
      </c>
      <c r="I11">
        <v>77.8</v>
      </c>
      <c r="J11">
        <v>1160</v>
      </c>
      <c r="K11">
        <v>14.9</v>
      </c>
      <c r="L11">
        <v>9</v>
      </c>
      <c r="M11">
        <f t="shared" si="0"/>
        <v>3.3256880733944953</v>
      </c>
      <c r="O11" t="s">
        <v>494</v>
      </c>
      <c r="P11">
        <v>68.7</v>
      </c>
      <c r="Q11">
        <v>841</v>
      </c>
      <c r="R11">
        <v>12.2</v>
      </c>
      <c r="S11">
        <v>8.1999999999999993</v>
      </c>
      <c r="T11">
        <f t="shared" si="1"/>
        <v>3.0704636728733119</v>
      </c>
    </row>
    <row r="12" spans="1:20" x14ac:dyDescent="0.25">
      <c r="A12" t="s">
        <v>495</v>
      </c>
      <c r="B12">
        <v>278.60000000000002</v>
      </c>
      <c r="C12">
        <v>11</v>
      </c>
      <c r="D12">
        <v>0</v>
      </c>
      <c r="E12">
        <v>0</v>
      </c>
      <c r="H12" t="s">
        <v>495</v>
      </c>
      <c r="I12">
        <v>803.7</v>
      </c>
      <c r="J12">
        <v>927</v>
      </c>
      <c r="K12">
        <v>1.2</v>
      </c>
      <c r="L12">
        <v>0</v>
      </c>
      <c r="M12">
        <f t="shared" si="0"/>
        <v>2.6576834862385321</v>
      </c>
      <c r="O12" t="s">
        <v>495</v>
      </c>
      <c r="P12">
        <v>803.7</v>
      </c>
      <c r="Q12">
        <v>392</v>
      </c>
      <c r="R12">
        <v>0.5</v>
      </c>
      <c r="S12">
        <v>0</v>
      </c>
      <c r="T12">
        <f t="shared" si="1"/>
        <v>1.4311792625045638</v>
      </c>
    </row>
    <row r="13" spans="1:20" x14ac:dyDescent="0.25">
      <c r="A13" t="s">
        <v>496</v>
      </c>
      <c r="B13">
        <v>278.60000000000002</v>
      </c>
      <c r="C13">
        <v>452</v>
      </c>
      <c r="D13">
        <v>1.6</v>
      </c>
      <c r="E13">
        <v>0</v>
      </c>
      <c r="H13" t="s">
        <v>496</v>
      </c>
      <c r="I13">
        <v>803.7</v>
      </c>
      <c r="J13">
        <v>14158</v>
      </c>
      <c r="K13">
        <v>17.600000000000001</v>
      </c>
      <c r="L13">
        <v>7</v>
      </c>
      <c r="M13">
        <f t="shared" si="0"/>
        <v>40.590596330275226</v>
      </c>
      <c r="O13" t="s">
        <v>496</v>
      </c>
      <c r="P13">
        <v>803.7</v>
      </c>
      <c r="Q13">
        <v>7660</v>
      </c>
      <c r="R13">
        <v>9.5</v>
      </c>
      <c r="S13">
        <v>0</v>
      </c>
      <c r="T13">
        <f t="shared" si="1"/>
        <v>27.966411098941222</v>
      </c>
    </row>
    <row r="14" spans="1:20" x14ac:dyDescent="0.25">
      <c r="A14" t="s">
        <v>497</v>
      </c>
      <c r="B14">
        <v>33.4</v>
      </c>
      <c r="C14">
        <v>142</v>
      </c>
      <c r="D14">
        <v>4.2</v>
      </c>
      <c r="E14">
        <v>3.1</v>
      </c>
      <c r="H14" t="s">
        <v>497</v>
      </c>
      <c r="I14">
        <v>544.20000000000005</v>
      </c>
      <c r="J14">
        <v>12712</v>
      </c>
      <c r="K14">
        <v>23.4</v>
      </c>
      <c r="L14">
        <v>23.2</v>
      </c>
      <c r="M14">
        <f t="shared" si="0"/>
        <v>36.444954128440365</v>
      </c>
      <c r="O14" t="s">
        <v>497</v>
      </c>
      <c r="P14">
        <v>489.1</v>
      </c>
      <c r="Q14">
        <v>9663</v>
      </c>
      <c r="R14">
        <v>19.8</v>
      </c>
      <c r="S14">
        <v>19.600000000000001</v>
      </c>
      <c r="T14">
        <f t="shared" si="1"/>
        <v>35.279299014238774</v>
      </c>
    </row>
    <row r="15" spans="1:20" x14ac:dyDescent="0.25">
      <c r="A15" t="s">
        <v>568</v>
      </c>
      <c r="B15">
        <v>6.4</v>
      </c>
      <c r="C15">
        <v>15</v>
      </c>
      <c r="D15">
        <v>2.4</v>
      </c>
      <c r="E15">
        <v>1.9</v>
      </c>
      <c r="H15" t="s">
        <v>568</v>
      </c>
      <c r="I15">
        <v>33.299999999999997</v>
      </c>
      <c r="J15">
        <v>204</v>
      </c>
      <c r="K15">
        <v>6.1</v>
      </c>
      <c r="L15">
        <v>3.6</v>
      </c>
      <c r="M15">
        <f t="shared" si="0"/>
        <v>0.58486238532110091</v>
      </c>
      <c r="O15" t="s">
        <v>568</v>
      </c>
      <c r="P15">
        <v>35</v>
      </c>
      <c r="Q15">
        <v>211</v>
      </c>
      <c r="R15">
        <v>6</v>
      </c>
      <c r="S15">
        <v>3.8</v>
      </c>
      <c r="T15">
        <f t="shared" si="1"/>
        <v>0.77035414384811984</v>
      </c>
    </row>
    <row r="16" spans="1:20" x14ac:dyDescent="0.25">
      <c r="A16" t="s">
        <v>569</v>
      </c>
      <c r="B16">
        <v>6.2</v>
      </c>
      <c r="C16">
        <v>16</v>
      </c>
      <c r="D16">
        <v>2.7</v>
      </c>
      <c r="E16">
        <v>1.5</v>
      </c>
      <c r="H16" t="s">
        <v>569</v>
      </c>
      <c r="I16">
        <v>29.7</v>
      </c>
      <c r="J16">
        <v>186</v>
      </c>
      <c r="K16">
        <v>6.3</v>
      </c>
      <c r="L16">
        <v>2.8</v>
      </c>
      <c r="M16">
        <f t="shared" si="0"/>
        <v>0.53325688073394495</v>
      </c>
      <c r="O16" t="s">
        <v>569</v>
      </c>
      <c r="P16">
        <v>34.700000000000003</v>
      </c>
      <c r="Q16">
        <v>245</v>
      </c>
      <c r="R16">
        <v>7.1</v>
      </c>
      <c r="S16">
        <v>4.3</v>
      </c>
      <c r="T16">
        <f t="shared" si="1"/>
        <v>0.89448703906535243</v>
      </c>
    </row>
    <row r="17" spans="1:20" x14ac:dyDescent="0.25">
      <c r="A17" t="s">
        <v>570</v>
      </c>
      <c r="B17">
        <v>7.4</v>
      </c>
      <c r="C17">
        <v>43</v>
      </c>
      <c r="D17">
        <v>5.8</v>
      </c>
      <c r="E17">
        <v>5.9</v>
      </c>
      <c r="H17" t="s">
        <v>570</v>
      </c>
      <c r="I17">
        <v>56.6</v>
      </c>
      <c r="J17">
        <v>1069</v>
      </c>
      <c r="K17">
        <v>18.899999999999999</v>
      </c>
      <c r="L17">
        <v>18.2</v>
      </c>
      <c r="M17">
        <f t="shared" si="0"/>
        <v>3.0647935779816513</v>
      </c>
      <c r="O17" t="s">
        <v>570</v>
      </c>
      <c r="P17">
        <v>112</v>
      </c>
      <c r="Q17">
        <v>1915</v>
      </c>
      <c r="R17">
        <v>17.100000000000001</v>
      </c>
      <c r="S17">
        <v>17.600000000000001</v>
      </c>
      <c r="T17">
        <f t="shared" si="1"/>
        <v>6.9916027747353056</v>
      </c>
    </row>
    <row r="18" spans="1:20" x14ac:dyDescent="0.25">
      <c r="A18" t="s">
        <v>571</v>
      </c>
      <c r="B18">
        <v>7.4</v>
      </c>
      <c r="C18">
        <v>43</v>
      </c>
      <c r="D18">
        <v>5.8</v>
      </c>
      <c r="E18">
        <v>5.9</v>
      </c>
      <c r="H18" t="s">
        <v>571</v>
      </c>
      <c r="I18">
        <v>56.6</v>
      </c>
      <c r="J18">
        <v>1069</v>
      </c>
      <c r="K18">
        <v>18.899999999999999</v>
      </c>
      <c r="L18">
        <v>18.2</v>
      </c>
      <c r="M18">
        <f t="shared" si="0"/>
        <v>3.0647935779816513</v>
      </c>
      <c r="O18" t="s">
        <v>571</v>
      </c>
      <c r="P18">
        <v>112</v>
      </c>
      <c r="Q18">
        <v>1915</v>
      </c>
      <c r="R18">
        <v>17.100000000000001</v>
      </c>
      <c r="S18">
        <v>17.600000000000001</v>
      </c>
      <c r="T18">
        <f t="shared" si="1"/>
        <v>6.9916027747353056</v>
      </c>
    </row>
    <row r="19" spans="1:20" x14ac:dyDescent="0.25">
      <c r="A19" t="s">
        <v>572</v>
      </c>
      <c r="B19">
        <v>0</v>
      </c>
      <c r="C19" t="s">
        <v>566</v>
      </c>
      <c r="D19" t="s">
        <v>566</v>
      </c>
      <c r="E19" t="s">
        <v>566</v>
      </c>
      <c r="H19" t="s">
        <v>572</v>
      </c>
      <c r="I19">
        <v>0</v>
      </c>
      <c r="J19" t="s">
        <v>566</v>
      </c>
      <c r="K19" t="s">
        <v>566</v>
      </c>
      <c r="L19" t="s">
        <v>566</v>
      </c>
      <c r="M19" t="e">
        <f t="shared" si="0"/>
        <v>#VALUE!</v>
      </c>
      <c r="O19" t="s">
        <v>572</v>
      </c>
      <c r="P19">
        <v>0</v>
      </c>
      <c r="Q19" t="s">
        <v>566</v>
      </c>
      <c r="R19" t="s">
        <v>566</v>
      </c>
      <c r="S19" t="s">
        <v>566</v>
      </c>
      <c r="T19" t="e">
        <f t="shared" si="1"/>
        <v>#VALUE!</v>
      </c>
    </row>
    <row r="20" spans="1:20" x14ac:dyDescent="0.25">
      <c r="A20" t="s">
        <v>573</v>
      </c>
      <c r="B20">
        <v>19.100000000000001</v>
      </c>
      <c r="C20">
        <v>52</v>
      </c>
      <c r="D20">
        <v>2.7</v>
      </c>
      <c r="E20">
        <v>1.1000000000000001</v>
      </c>
      <c r="H20" t="s">
        <v>573</v>
      </c>
      <c r="I20">
        <v>480</v>
      </c>
      <c r="J20">
        <v>10984</v>
      </c>
      <c r="K20">
        <v>22.9</v>
      </c>
      <c r="L20">
        <v>23</v>
      </c>
      <c r="M20">
        <f t="shared" si="0"/>
        <v>31.490825688073393</v>
      </c>
      <c r="O20" t="s">
        <v>573</v>
      </c>
      <c r="P20">
        <v>370</v>
      </c>
      <c r="Q20">
        <v>6837</v>
      </c>
      <c r="R20">
        <v>18.5</v>
      </c>
      <c r="S20">
        <v>18.100000000000001</v>
      </c>
      <c r="T20">
        <f t="shared" si="1"/>
        <v>24.961664841182916</v>
      </c>
    </row>
    <row r="21" spans="1:20" x14ac:dyDescent="0.25">
      <c r="A21" t="s">
        <v>574</v>
      </c>
      <c r="B21">
        <v>5.2</v>
      </c>
      <c r="C21">
        <v>29</v>
      </c>
      <c r="D21">
        <v>5.6</v>
      </c>
      <c r="E21">
        <v>5</v>
      </c>
      <c r="H21" t="s">
        <v>574</v>
      </c>
      <c r="I21">
        <v>426.7</v>
      </c>
      <c r="J21">
        <v>7581</v>
      </c>
      <c r="K21">
        <v>17.8</v>
      </c>
      <c r="L21">
        <v>16.8</v>
      </c>
      <c r="M21">
        <f t="shared" si="0"/>
        <v>21.734518348623851</v>
      </c>
      <c r="O21" t="s">
        <v>574</v>
      </c>
      <c r="P21">
        <v>302</v>
      </c>
      <c r="Q21">
        <v>5278</v>
      </c>
      <c r="R21">
        <v>17.5</v>
      </c>
      <c r="S21">
        <v>16.8</v>
      </c>
      <c r="T21">
        <f t="shared" si="1"/>
        <v>19.269806498722161</v>
      </c>
    </row>
    <row r="22" spans="1:20" x14ac:dyDescent="0.25">
      <c r="A22" t="s">
        <v>575</v>
      </c>
      <c r="B22">
        <v>0.3</v>
      </c>
      <c r="C22">
        <v>2</v>
      </c>
      <c r="D22">
        <v>5.5</v>
      </c>
      <c r="E22">
        <v>5.8</v>
      </c>
      <c r="H22" t="s">
        <v>575</v>
      </c>
      <c r="I22">
        <v>3.3</v>
      </c>
      <c r="J22">
        <v>38</v>
      </c>
      <c r="K22">
        <v>11.4</v>
      </c>
      <c r="L22">
        <v>12.6</v>
      </c>
      <c r="M22">
        <f t="shared" si="0"/>
        <v>0.10894495412844037</v>
      </c>
      <c r="O22" t="s">
        <v>575</v>
      </c>
      <c r="P22">
        <v>7.1</v>
      </c>
      <c r="Q22">
        <v>93</v>
      </c>
      <c r="R22">
        <v>13.1</v>
      </c>
      <c r="S22">
        <v>16.5</v>
      </c>
      <c r="T22">
        <f t="shared" si="1"/>
        <v>0.33953997809419501</v>
      </c>
    </row>
    <row r="23" spans="1:20" x14ac:dyDescent="0.25">
      <c r="A23" t="s">
        <v>576</v>
      </c>
      <c r="B23">
        <v>15.6</v>
      </c>
      <c r="C23">
        <v>21</v>
      </c>
      <c r="D23">
        <v>1.4</v>
      </c>
      <c r="E23">
        <v>0.5</v>
      </c>
      <c r="H23" t="s">
        <v>576</v>
      </c>
      <c r="I23">
        <v>451.7</v>
      </c>
      <c r="J23">
        <v>3365</v>
      </c>
      <c r="K23">
        <v>7.4</v>
      </c>
      <c r="L23">
        <v>6.4</v>
      </c>
      <c r="M23">
        <f t="shared" si="0"/>
        <v>9.6473623853211006</v>
      </c>
      <c r="O23" t="s">
        <v>576</v>
      </c>
      <c r="P23">
        <v>286.2</v>
      </c>
      <c r="Q23">
        <v>1465</v>
      </c>
      <c r="R23">
        <v>5.0999999999999996</v>
      </c>
      <c r="S23">
        <v>3.9</v>
      </c>
      <c r="T23">
        <f t="shared" si="1"/>
        <v>5.3486673968601686</v>
      </c>
    </row>
    <row r="24" spans="1:20" x14ac:dyDescent="0.25">
      <c r="A24" t="s">
        <v>577</v>
      </c>
      <c r="B24">
        <v>20.9</v>
      </c>
      <c r="C24">
        <v>16</v>
      </c>
      <c r="D24">
        <v>0.7</v>
      </c>
      <c r="E24">
        <v>0.6</v>
      </c>
      <c r="H24" t="s">
        <v>577</v>
      </c>
      <c r="I24">
        <v>111.9</v>
      </c>
      <c r="J24">
        <v>269</v>
      </c>
      <c r="K24">
        <v>2.4</v>
      </c>
      <c r="L24">
        <v>1.9</v>
      </c>
      <c r="M24">
        <f t="shared" si="0"/>
        <v>0.77121559633027525</v>
      </c>
      <c r="O24" t="s">
        <v>577</v>
      </c>
      <c r="P24">
        <v>176.4</v>
      </c>
      <c r="Q24">
        <v>455</v>
      </c>
      <c r="R24">
        <v>2.6</v>
      </c>
      <c r="S24">
        <v>2.7</v>
      </c>
      <c r="T24">
        <f t="shared" si="1"/>
        <v>1.661190215407083</v>
      </c>
    </row>
    <row r="25" spans="1:20" x14ac:dyDescent="0.25">
      <c r="A25" t="s">
        <v>498</v>
      </c>
      <c r="B25">
        <v>278.60000000000002</v>
      </c>
      <c r="C25">
        <v>5639</v>
      </c>
      <c r="D25">
        <v>20.2</v>
      </c>
      <c r="E25" s="57">
        <v>19.100000000000001</v>
      </c>
      <c r="F25">
        <f>C25/B$25</f>
        <v>20.240488155061019</v>
      </c>
      <c r="H25" t="s">
        <v>498</v>
      </c>
      <c r="I25">
        <v>803.7</v>
      </c>
      <c r="J25">
        <v>1782</v>
      </c>
      <c r="K25">
        <v>2.2000000000000002</v>
      </c>
      <c r="L25">
        <v>0.4</v>
      </c>
      <c r="M25">
        <f t="shared" si="0"/>
        <v>5.1089449541284404</v>
      </c>
      <c r="O25" t="s">
        <v>498</v>
      </c>
      <c r="P25">
        <v>803.7</v>
      </c>
      <c r="Q25">
        <v>5192</v>
      </c>
      <c r="R25">
        <v>6.5</v>
      </c>
      <c r="S25">
        <v>1.7</v>
      </c>
      <c r="T25">
        <f t="shared" si="1"/>
        <v>18.955823293172692</v>
      </c>
    </row>
    <row r="26" spans="1:20" x14ac:dyDescent="0.25">
      <c r="A26" t="s">
        <v>499</v>
      </c>
      <c r="B26">
        <v>278.60000000000002</v>
      </c>
      <c r="C26">
        <v>4691</v>
      </c>
      <c r="D26">
        <v>16.8</v>
      </c>
      <c r="E26">
        <v>18</v>
      </c>
      <c r="F26">
        <f t="shared" ref="F26:F69" si="2">C26/B$25</f>
        <v>16.837760229720029</v>
      </c>
      <c r="H26" t="s">
        <v>499</v>
      </c>
      <c r="I26">
        <v>803.7</v>
      </c>
      <c r="J26">
        <v>1020</v>
      </c>
      <c r="K26">
        <v>1.3</v>
      </c>
      <c r="L26">
        <v>0.4</v>
      </c>
      <c r="M26">
        <f t="shared" si="0"/>
        <v>2.9243119266055047</v>
      </c>
      <c r="O26" t="s">
        <v>499</v>
      </c>
      <c r="P26">
        <v>803.7</v>
      </c>
      <c r="Q26">
        <v>4068</v>
      </c>
      <c r="R26">
        <v>5.0999999999999996</v>
      </c>
      <c r="S26">
        <v>1.7</v>
      </c>
      <c r="T26">
        <f t="shared" si="1"/>
        <v>14.85213581599124</v>
      </c>
    </row>
    <row r="27" spans="1:20" x14ac:dyDescent="0.25">
      <c r="A27" t="s">
        <v>500</v>
      </c>
      <c r="B27">
        <v>278.60000000000002</v>
      </c>
      <c r="C27">
        <v>4236</v>
      </c>
      <c r="D27">
        <v>15.2</v>
      </c>
      <c r="E27">
        <v>16.3</v>
      </c>
      <c r="F27">
        <f t="shared" si="2"/>
        <v>15.204594400574299</v>
      </c>
      <c r="H27" t="s">
        <v>500</v>
      </c>
      <c r="I27">
        <v>28.8</v>
      </c>
      <c r="J27">
        <v>238</v>
      </c>
      <c r="K27">
        <v>8.3000000000000007</v>
      </c>
      <c r="L27">
        <v>7.7</v>
      </c>
      <c r="M27">
        <f t="shared" si="0"/>
        <v>0.68233944954128434</v>
      </c>
      <c r="O27" t="s">
        <v>500</v>
      </c>
      <c r="P27">
        <v>159.30000000000001</v>
      </c>
      <c r="Q27">
        <v>2045</v>
      </c>
      <c r="R27">
        <v>12.8</v>
      </c>
      <c r="S27">
        <v>16.3</v>
      </c>
      <c r="T27">
        <f t="shared" si="1"/>
        <v>7.4662285505659005</v>
      </c>
    </row>
    <row r="28" spans="1:20" x14ac:dyDescent="0.25">
      <c r="A28" t="s">
        <v>501</v>
      </c>
      <c r="B28">
        <v>278.60000000000002</v>
      </c>
      <c r="C28">
        <v>454</v>
      </c>
      <c r="D28">
        <v>1.6</v>
      </c>
      <c r="E28">
        <v>1.7</v>
      </c>
      <c r="F28">
        <f t="shared" si="2"/>
        <v>1.6295764536970565</v>
      </c>
      <c r="H28" t="s">
        <v>501</v>
      </c>
      <c r="I28">
        <v>803.7</v>
      </c>
      <c r="J28">
        <v>783</v>
      </c>
      <c r="K28">
        <v>1</v>
      </c>
      <c r="L28">
        <v>0.4</v>
      </c>
      <c r="M28">
        <f t="shared" si="0"/>
        <v>2.2448394495412844</v>
      </c>
      <c r="O28" t="s">
        <v>501</v>
      </c>
      <c r="P28">
        <v>803.7</v>
      </c>
      <c r="Q28">
        <v>2023</v>
      </c>
      <c r="R28">
        <v>2.5</v>
      </c>
      <c r="S28">
        <v>1.7</v>
      </c>
      <c r="T28">
        <f t="shared" si="1"/>
        <v>7.3859072654253382</v>
      </c>
    </row>
    <row r="29" spans="1:20" x14ac:dyDescent="0.25">
      <c r="A29" t="s">
        <v>502</v>
      </c>
      <c r="B29">
        <v>277.10000000000002</v>
      </c>
      <c r="C29">
        <v>288</v>
      </c>
      <c r="D29">
        <v>1</v>
      </c>
      <c r="E29">
        <v>1.1000000000000001</v>
      </c>
      <c r="F29">
        <f t="shared" si="2"/>
        <v>1.0337401292175161</v>
      </c>
      <c r="H29" t="s">
        <v>502</v>
      </c>
      <c r="I29">
        <v>55.8</v>
      </c>
      <c r="J29">
        <v>37</v>
      </c>
      <c r="K29">
        <v>0.7</v>
      </c>
      <c r="L29">
        <v>0.6</v>
      </c>
      <c r="M29">
        <f t="shared" si="0"/>
        <v>0.10607798165137615</v>
      </c>
      <c r="O29" t="s">
        <v>502</v>
      </c>
      <c r="P29">
        <v>248.3</v>
      </c>
      <c r="Q29">
        <v>216</v>
      </c>
      <c r="R29">
        <v>0.9</v>
      </c>
      <c r="S29">
        <v>1.1000000000000001</v>
      </c>
      <c r="T29">
        <f t="shared" si="1"/>
        <v>0.78860898138006574</v>
      </c>
    </row>
    <row r="30" spans="1:20" x14ac:dyDescent="0.25">
      <c r="A30" t="s">
        <v>503</v>
      </c>
      <c r="B30">
        <v>82.2</v>
      </c>
      <c r="C30">
        <v>550</v>
      </c>
      <c r="D30">
        <v>6.7</v>
      </c>
      <c r="E30" s="127">
        <v>6.2</v>
      </c>
      <c r="F30">
        <f t="shared" si="2"/>
        <v>1.974156496769562</v>
      </c>
      <c r="H30" t="s">
        <v>503</v>
      </c>
      <c r="I30">
        <v>120.7</v>
      </c>
      <c r="J30">
        <v>594</v>
      </c>
      <c r="K30">
        <v>4.9000000000000004</v>
      </c>
      <c r="L30" s="127">
        <v>4.9000000000000004</v>
      </c>
      <c r="M30">
        <f t="shared" si="0"/>
        <v>1.7029816513761467</v>
      </c>
      <c r="O30" t="s">
        <v>503</v>
      </c>
      <c r="P30">
        <v>135</v>
      </c>
      <c r="Q30">
        <v>755</v>
      </c>
      <c r="R30">
        <v>5.6</v>
      </c>
      <c r="S30" s="127">
        <v>5.6</v>
      </c>
      <c r="T30">
        <f t="shared" si="1"/>
        <v>2.7564804673238412</v>
      </c>
    </row>
    <row r="31" spans="1:20" x14ac:dyDescent="0.25">
      <c r="A31" t="s">
        <v>504</v>
      </c>
      <c r="B31">
        <v>78.3</v>
      </c>
      <c r="C31">
        <v>180</v>
      </c>
      <c r="D31">
        <v>2.2999999999999998</v>
      </c>
      <c r="E31">
        <v>2</v>
      </c>
      <c r="F31">
        <f t="shared" si="2"/>
        <v>0.64608758076094752</v>
      </c>
      <c r="H31" t="s">
        <v>504</v>
      </c>
      <c r="I31">
        <v>116</v>
      </c>
      <c r="J31">
        <v>242</v>
      </c>
      <c r="K31">
        <v>2.1</v>
      </c>
      <c r="L31">
        <v>2</v>
      </c>
      <c r="M31">
        <f t="shared" si="0"/>
        <v>0.69380733944954132</v>
      </c>
      <c r="O31" t="s">
        <v>504</v>
      </c>
      <c r="P31">
        <v>130.5</v>
      </c>
      <c r="Q31">
        <v>266</v>
      </c>
      <c r="R31">
        <v>2</v>
      </c>
      <c r="S31">
        <v>1.8</v>
      </c>
      <c r="T31">
        <f t="shared" si="1"/>
        <v>0.97115735669952541</v>
      </c>
    </row>
    <row r="32" spans="1:20" x14ac:dyDescent="0.25">
      <c r="A32" t="s">
        <v>505</v>
      </c>
      <c r="B32">
        <v>81.900000000000006</v>
      </c>
      <c r="C32">
        <v>371</v>
      </c>
      <c r="D32">
        <v>4.5</v>
      </c>
      <c r="E32">
        <v>4.7</v>
      </c>
      <c r="F32">
        <f t="shared" si="2"/>
        <v>1.3316582914572863</v>
      </c>
      <c r="H32" t="s">
        <v>505</v>
      </c>
      <c r="I32">
        <v>107.2</v>
      </c>
      <c r="J32">
        <v>353</v>
      </c>
      <c r="K32">
        <v>3.3</v>
      </c>
      <c r="L32">
        <v>3.1</v>
      </c>
      <c r="M32">
        <f t="shared" si="0"/>
        <v>1.0120412844036697</v>
      </c>
      <c r="O32" t="s">
        <v>505</v>
      </c>
      <c r="P32">
        <v>125.9</v>
      </c>
      <c r="Q32">
        <v>490</v>
      </c>
      <c r="R32">
        <v>3.9</v>
      </c>
      <c r="S32">
        <v>4.5</v>
      </c>
      <c r="T32">
        <f t="shared" si="1"/>
        <v>1.7889740781307049</v>
      </c>
    </row>
    <row r="33" spans="1:20" x14ac:dyDescent="0.25">
      <c r="A33" t="s">
        <v>506</v>
      </c>
      <c r="B33">
        <v>25.8</v>
      </c>
      <c r="C33">
        <v>111</v>
      </c>
      <c r="D33">
        <v>4.3</v>
      </c>
      <c r="E33">
        <v>4.5</v>
      </c>
      <c r="F33">
        <f t="shared" si="2"/>
        <v>0.39842067480258431</v>
      </c>
      <c r="H33" t="s">
        <v>506</v>
      </c>
      <c r="I33">
        <v>34.799999999999997</v>
      </c>
      <c r="J33">
        <v>130</v>
      </c>
      <c r="K33">
        <v>3.7</v>
      </c>
      <c r="L33">
        <v>3.4</v>
      </c>
      <c r="M33">
        <f t="shared" si="0"/>
        <v>0.37270642201834864</v>
      </c>
      <c r="O33" t="s">
        <v>506</v>
      </c>
      <c r="P33">
        <v>38.9</v>
      </c>
      <c r="Q33">
        <v>153</v>
      </c>
      <c r="R33">
        <v>3.9</v>
      </c>
      <c r="S33">
        <v>3.7</v>
      </c>
      <c r="T33">
        <f t="shared" si="1"/>
        <v>0.55859802847754658</v>
      </c>
    </row>
    <row r="34" spans="1:20" x14ac:dyDescent="0.25">
      <c r="A34" t="s">
        <v>507</v>
      </c>
      <c r="B34">
        <v>255</v>
      </c>
      <c r="C34">
        <v>836</v>
      </c>
      <c r="D34">
        <v>3.3</v>
      </c>
      <c r="E34">
        <v>3.5</v>
      </c>
      <c r="F34">
        <f t="shared" si="2"/>
        <v>3.0007178750897343</v>
      </c>
      <c r="H34" t="s">
        <v>507</v>
      </c>
      <c r="I34">
        <v>360</v>
      </c>
      <c r="J34">
        <v>899</v>
      </c>
      <c r="K34">
        <v>2.5</v>
      </c>
      <c r="L34">
        <v>2.6</v>
      </c>
      <c r="M34">
        <f t="shared" si="0"/>
        <v>2.5774082568807337</v>
      </c>
      <c r="O34" t="s">
        <v>507</v>
      </c>
      <c r="P34">
        <v>534.20000000000005</v>
      </c>
      <c r="Q34">
        <v>1605</v>
      </c>
      <c r="R34">
        <v>3</v>
      </c>
      <c r="S34">
        <v>3.3</v>
      </c>
      <c r="T34">
        <f t="shared" si="1"/>
        <v>5.8598028477546551</v>
      </c>
    </row>
    <row r="35" spans="1:20" x14ac:dyDescent="0.25">
      <c r="A35" t="s">
        <v>508</v>
      </c>
      <c r="B35">
        <v>254.9</v>
      </c>
      <c r="C35">
        <v>834</v>
      </c>
      <c r="D35">
        <v>3.3</v>
      </c>
      <c r="E35" s="57">
        <v>3.5</v>
      </c>
      <c r="F35">
        <f t="shared" si="2"/>
        <v>2.9935391241923903</v>
      </c>
      <c r="H35" t="s">
        <v>508</v>
      </c>
      <c r="I35">
        <v>359.4</v>
      </c>
      <c r="J35">
        <v>898</v>
      </c>
      <c r="K35">
        <v>2.5</v>
      </c>
      <c r="L35" s="57">
        <v>2.6</v>
      </c>
      <c r="M35">
        <f t="shared" si="0"/>
        <v>2.5745412844036695</v>
      </c>
      <c r="O35" t="s">
        <v>508</v>
      </c>
      <c r="P35">
        <v>533.70000000000005</v>
      </c>
      <c r="Q35">
        <v>1603</v>
      </c>
      <c r="R35">
        <v>3</v>
      </c>
      <c r="S35">
        <v>3.3</v>
      </c>
      <c r="T35">
        <f t="shared" si="1"/>
        <v>5.8525009127418768</v>
      </c>
    </row>
    <row r="36" spans="1:20" x14ac:dyDescent="0.25">
      <c r="A36" t="s">
        <v>509</v>
      </c>
      <c r="B36">
        <v>2.7</v>
      </c>
      <c r="C36">
        <v>2</v>
      </c>
      <c r="D36">
        <v>0.7</v>
      </c>
      <c r="E36">
        <v>0.6</v>
      </c>
      <c r="F36">
        <f t="shared" si="2"/>
        <v>7.1787508973438618E-3</v>
      </c>
      <c r="H36" t="s">
        <v>509</v>
      </c>
      <c r="I36">
        <v>1.7</v>
      </c>
      <c r="J36">
        <v>1</v>
      </c>
      <c r="K36">
        <v>0.7</v>
      </c>
      <c r="L36">
        <v>0.6</v>
      </c>
      <c r="M36">
        <f t="shared" si="0"/>
        <v>2.8669724770642199E-3</v>
      </c>
      <c r="O36" t="s">
        <v>509</v>
      </c>
      <c r="P36">
        <v>2.6</v>
      </c>
      <c r="Q36">
        <v>2</v>
      </c>
      <c r="R36">
        <v>0.7</v>
      </c>
      <c r="S36">
        <v>0.6</v>
      </c>
      <c r="T36">
        <f t="shared" si="1"/>
        <v>7.3019350127783867E-3</v>
      </c>
    </row>
    <row r="37" spans="1:20" x14ac:dyDescent="0.25">
      <c r="A37" t="s">
        <v>510</v>
      </c>
      <c r="B37">
        <v>0.3</v>
      </c>
      <c r="C37">
        <v>1</v>
      </c>
      <c r="D37">
        <v>3.1</v>
      </c>
      <c r="E37">
        <v>2.4</v>
      </c>
      <c r="F37">
        <f t="shared" si="2"/>
        <v>3.5893754486719309E-3</v>
      </c>
      <c r="H37" t="s">
        <v>510</v>
      </c>
      <c r="I37">
        <v>5.3</v>
      </c>
      <c r="J37">
        <v>37</v>
      </c>
      <c r="K37">
        <v>6.9</v>
      </c>
      <c r="L37">
        <v>4.2</v>
      </c>
      <c r="M37">
        <f t="shared" si="0"/>
        <v>0.10607798165137615</v>
      </c>
      <c r="O37" t="s">
        <v>510</v>
      </c>
      <c r="P37">
        <v>4.5</v>
      </c>
      <c r="Q37">
        <v>35</v>
      </c>
      <c r="R37">
        <v>7.7</v>
      </c>
      <c r="S37">
        <v>5.3</v>
      </c>
      <c r="T37">
        <f t="shared" si="1"/>
        <v>0.12778386272362177</v>
      </c>
    </row>
    <row r="38" spans="1:20" x14ac:dyDescent="0.25">
      <c r="A38" t="s">
        <v>511</v>
      </c>
      <c r="B38">
        <v>278.60000000000002</v>
      </c>
      <c r="C38">
        <v>7070</v>
      </c>
      <c r="D38">
        <v>25.4</v>
      </c>
      <c r="E38">
        <v>23</v>
      </c>
      <c r="F38">
        <f t="shared" si="2"/>
        <v>25.37688442211055</v>
      </c>
      <c r="H38" t="s">
        <v>511</v>
      </c>
      <c r="I38">
        <v>803.7</v>
      </c>
      <c r="J38">
        <v>29587</v>
      </c>
      <c r="K38">
        <v>36.799999999999997</v>
      </c>
      <c r="L38">
        <v>34.200000000000003</v>
      </c>
      <c r="M38">
        <f t="shared" si="0"/>
        <v>84.825114678899084</v>
      </c>
      <c r="O38" t="s">
        <v>511</v>
      </c>
      <c r="P38">
        <v>803.7</v>
      </c>
      <c r="Q38">
        <v>24155</v>
      </c>
      <c r="R38">
        <v>30.1</v>
      </c>
      <c r="S38">
        <v>27.4</v>
      </c>
      <c r="T38">
        <f t="shared" si="1"/>
        <v>88.189120116830964</v>
      </c>
    </row>
    <row r="39" spans="1:20" x14ac:dyDescent="0.25">
      <c r="A39" t="s">
        <v>512</v>
      </c>
      <c r="B39">
        <v>0.2</v>
      </c>
      <c r="C39">
        <v>0</v>
      </c>
      <c r="D39">
        <v>2.1</v>
      </c>
      <c r="E39">
        <v>1.4</v>
      </c>
      <c r="F39">
        <f t="shared" si="2"/>
        <v>0</v>
      </c>
      <c r="H39" t="s">
        <v>512</v>
      </c>
      <c r="I39">
        <v>2.9</v>
      </c>
      <c r="J39">
        <v>14</v>
      </c>
      <c r="K39">
        <v>4.8</v>
      </c>
      <c r="L39">
        <v>2.2000000000000002</v>
      </c>
      <c r="M39">
        <f t="shared" si="0"/>
        <v>4.0137614678899078E-2</v>
      </c>
      <c r="O39" t="s">
        <v>512</v>
      </c>
      <c r="P39">
        <v>1.7</v>
      </c>
      <c r="Q39">
        <v>10</v>
      </c>
      <c r="R39">
        <v>5.8</v>
      </c>
      <c r="S39">
        <v>2.2999999999999998</v>
      </c>
      <c r="T39">
        <f t="shared" si="1"/>
        <v>3.6509675063891932E-2</v>
      </c>
    </row>
    <row r="40" spans="1:20" x14ac:dyDescent="0.25">
      <c r="A40" t="s">
        <v>513</v>
      </c>
      <c r="B40">
        <v>264.60000000000002</v>
      </c>
      <c r="C40">
        <v>414</v>
      </c>
      <c r="D40">
        <v>1.6</v>
      </c>
      <c r="E40" s="57">
        <v>1.5</v>
      </c>
      <c r="F40">
        <f t="shared" si="2"/>
        <v>1.4860014357501794</v>
      </c>
      <c r="H40" t="s">
        <v>513</v>
      </c>
      <c r="I40">
        <v>661.9</v>
      </c>
      <c r="J40">
        <v>3116</v>
      </c>
      <c r="K40">
        <v>4.7</v>
      </c>
      <c r="L40" s="57">
        <v>3.8</v>
      </c>
      <c r="M40">
        <f t="shared" si="0"/>
        <v>8.9334862385321099</v>
      </c>
      <c r="O40" t="s">
        <v>513</v>
      </c>
      <c r="P40">
        <v>605.70000000000005</v>
      </c>
      <c r="Q40">
        <v>2160</v>
      </c>
      <c r="R40">
        <v>3.6</v>
      </c>
      <c r="S40">
        <v>2.5</v>
      </c>
      <c r="T40">
        <f t="shared" si="1"/>
        <v>7.8860898138006581</v>
      </c>
    </row>
    <row r="41" spans="1:20" x14ac:dyDescent="0.25">
      <c r="A41" t="s">
        <v>578</v>
      </c>
      <c r="B41">
        <v>77</v>
      </c>
      <c r="C41">
        <v>24</v>
      </c>
      <c r="D41">
        <v>0.3</v>
      </c>
      <c r="E41">
        <v>0.2</v>
      </c>
      <c r="F41">
        <f t="shared" si="2"/>
        <v>8.6145010768126334E-2</v>
      </c>
      <c r="H41" t="s">
        <v>578</v>
      </c>
      <c r="I41">
        <v>370.1</v>
      </c>
      <c r="J41">
        <v>447</v>
      </c>
      <c r="K41">
        <v>1.2</v>
      </c>
      <c r="L41">
        <v>1</v>
      </c>
      <c r="M41">
        <f t="shared" si="0"/>
        <v>1.2815366972477065</v>
      </c>
      <c r="O41" t="s">
        <v>578</v>
      </c>
      <c r="P41">
        <v>361.4</v>
      </c>
      <c r="Q41">
        <v>308</v>
      </c>
      <c r="R41">
        <v>0.9</v>
      </c>
      <c r="S41">
        <v>0.7</v>
      </c>
      <c r="T41">
        <f t="shared" si="1"/>
        <v>1.1244979919678715</v>
      </c>
    </row>
    <row r="42" spans="1:20" x14ac:dyDescent="0.25">
      <c r="A42" t="s">
        <v>579</v>
      </c>
      <c r="B42">
        <v>77</v>
      </c>
      <c r="C42">
        <v>24</v>
      </c>
      <c r="D42">
        <v>0.3</v>
      </c>
      <c r="E42">
        <v>0.2</v>
      </c>
      <c r="F42">
        <f t="shared" si="2"/>
        <v>8.6145010768126334E-2</v>
      </c>
      <c r="H42" t="s">
        <v>579</v>
      </c>
      <c r="I42">
        <v>370.1</v>
      </c>
      <c r="J42">
        <v>447</v>
      </c>
      <c r="K42">
        <v>1.2</v>
      </c>
      <c r="L42">
        <v>1</v>
      </c>
      <c r="M42">
        <f t="shared" si="0"/>
        <v>1.2815366972477065</v>
      </c>
      <c r="O42" t="s">
        <v>579</v>
      </c>
      <c r="P42">
        <v>361.4</v>
      </c>
      <c r="Q42">
        <v>308</v>
      </c>
      <c r="R42">
        <v>0.9</v>
      </c>
      <c r="S42">
        <v>0.7</v>
      </c>
      <c r="T42">
        <f t="shared" si="1"/>
        <v>1.1244979919678715</v>
      </c>
    </row>
    <row r="43" spans="1:20" x14ac:dyDescent="0.25">
      <c r="A43" t="s">
        <v>580</v>
      </c>
      <c r="B43">
        <v>68.5</v>
      </c>
      <c r="C43">
        <v>21</v>
      </c>
      <c r="D43">
        <v>0.3</v>
      </c>
      <c r="E43">
        <v>0.2</v>
      </c>
      <c r="F43">
        <f t="shared" si="2"/>
        <v>7.5376884422110546E-2</v>
      </c>
      <c r="H43" t="s">
        <v>580</v>
      </c>
      <c r="I43">
        <v>335.9</v>
      </c>
      <c r="J43">
        <v>409</v>
      </c>
      <c r="K43">
        <v>1.2</v>
      </c>
      <c r="L43">
        <v>1.1000000000000001</v>
      </c>
      <c r="M43">
        <f t="shared" si="0"/>
        <v>1.1725917431192661</v>
      </c>
      <c r="O43" t="s">
        <v>580</v>
      </c>
      <c r="P43">
        <v>264</v>
      </c>
      <c r="Q43">
        <v>241</v>
      </c>
      <c r="R43">
        <v>0.9</v>
      </c>
      <c r="S43">
        <v>0.8</v>
      </c>
      <c r="T43">
        <f t="shared" si="1"/>
        <v>0.87988316903979558</v>
      </c>
    </row>
    <row r="44" spans="1:20" x14ac:dyDescent="0.25">
      <c r="A44" t="s">
        <v>581</v>
      </c>
      <c r="B44">
        <v>17.100000000000001</v>
      </c>
      <c r="C44">
        <v>2</v>
      </c>
      <c r="D44">
        <v>0.1</v>
      </c>
      <c r="E44">
        <v>0.1</v>
      </c>
      <c r="F44">
        <f t="shared" si="2"/>
        <v>7.1787508973438618E-3</v>
      </c>
      <c r="H44" t="s">
        <v>581</v>
      </c>
      <c r="I44">
        <v>100</v>
      </c>
      <c r="J44">
        <v>39</v>
      </c>
      <c r="K44">
        <v>0.4</v>
      </c>
      <c r="L44">
        <v>0.3</v>
      </c>
      <c r="M44">
        <f t="shared" si="0"/>
        <v>0.11181192660550458</v>
      </c>
      <c r="O44" t="s">
        <v>581</v>
      </c>
      <c r="P44">
        <v>160.69999999999999</v>
      </c>
      <c r="Q44">
        <v>67</v>
      </c>
      <c r="R44">
        <v>0.4</v>
      </c>
      <c r="S44">
        <v>0.4</v>
      </c>
      <c r="T44">
        <f t="shared" si="1"/>
        <v>0.24461482292807596</v>
      </c>
    </row>
    <row r="45" spans="1:20" x14ac:dyDescent="0.25">
      <c r="A45" t="s">
        <v>582</v>
      </c>
      <c r="B45">
        <v>0</v>
      </c>
      <c r="C45" t="s">
        <v>566</v>
      </c>
      <c r="D45" t="s">
        <v>566</v>
      </c>
      <c r="E45" t="s">
        <v>566</v>
      </c>
      <c r="F45" t="e">
        <f t="shared" si="2"/>
        <v>#VALUE!</v>
      </c>
      <c r="H45" t="s">
        <v>582</v>
      </c>
      <c r="I45">
        <v>0</v>
      </c>
      <c r="J45" t="s">
        <v>566</v>
      </c>
      <c r="K45" t="s">
        <v>566</v>
      </c>
      <c r="L45" t="s">
        <v>566</v>
      </c>
      <c r="M45" t="e">
        <f t="shared" si="0"/>
        <v>#VALUE!</v>
      </c>
      <c r="O45" t="s">
        <v>582</v>
      </c>
      <c r="P45">
        <v>0</v>
      </c>
      <c r="Q45" t="s">
        <v>566</v>
      </c>
      <c r="R45" t="s">
        <v>566</v>
      </c>
      <c r="S45" t="s">
        <v>566</v>
      </c>
      <c r="T45" t="e">
        <f t="shared" si="1"/>
        <v>#VALUE!</v>
      </c>
    </row>
    <row r="46" spans="1:20" x14ac:dyDescent="0.25">
      <c r="A46" t="s">
        <v>583</v>
      </c>
      <c r="B46">
        <v>77.2</v>
      </c>
      <c r="C46">
        <v>38</v>
      </c>
      <c r="D46">
        <v>0.5</v>
      </c>
      <c r="E46">
        <v>0.4</v>
      </c>
      <c r="F46">
        <f t="shared" si="2"/>
        <v>0.13639626704953337</v>
      </c>
      <c r="H46" t="s">
        <v>583</v>
      </c>
      <c r="I46">
        <v>373.1</v>
      </c>
      <c r="J46">
        <v>950</v>
      </c>
      <c r="K46">
        <v>2.5</v>
      </c>
      <c r="L46">
        <v>2.2999999999999998</v>
      </c>
      <c r="M46">
        <f t="shared" si="0"/>
        <v>2.7236238532110093</v>
      </c>
      <c r="O46" t="s">
        <v>583</v>
      </c>
      <c r="P46">
        <v>363.7</v>
      </c>
      <c r="Q46">
        <v>668</v>
      </c>
      <c r="R46">
        <v>1.8</v>
      </c>
      <c r="S46">
        <v>1.7</v>
      </c>
      <c r="T46">
        <f t="shared" si="1"/>
        <v>2.4388462942679814</v>
      </c>
    </row>
    <row r="47" spans="1:20" x14ac:dyDescent="0.25">
      <c r="A47" t="s">
        <v>584</v>
      </c>
      <c r="B47">
        <v>77.2</v>
      </c>
      <c r="C47">
        <v>38</v>
      </c>
      <c r="D47">
        <v>0.5</v>
      </c>
      <c r="E47">
        <v>0.4</v>
      </c>
      <c r="F47">
        <f t="shared" si="2"/>
        <v>0.13639626704953337</v>
      </c>
      <c r="H47" t="s">
        <v>584</v>
      </c>
      <c r="I47">
        <v>371.3</v>
      </c>
      <c r="J47">
        <v>935</v>
      </c>
      <c r="K47">
        <v>2.5</v>
      </c>
      <c r="L47">
        <v>2.2999999999999998</v>
      </c>
      <c r="M47">
        <f t="shared" si="0"/>
        <v>2.6806192660550456</v>
      </c>
      <c r="O47" t="s">
        <v>584</v>
      </c>
      <c r="P47">
        <v>362.4</v>
      </c>
      <c r="Q47">
        <v>659</v>
      </c>
      <c r="R47">
        <v>1.8</v>
      </c>
      <c r="S47">
        <v>1.7</v>
      </c>
      <c r="T47">
        <f t="shared" si="1"/>
        <v>2.4059875867104785</v>
      </c>
    </row>
    <row r="48" spans="1:20" x14ac:dyDescent="0.25">
      <c r="A48" t="s">
        <v>585</v>
      </c>
      <c r="B48">
        <v>68.5</v>
      </c>
      <c r="C48">
        <v>30</v>
      </c>
      <c r="D48">
        <v>0.4</v>
      </c>
      <c r="E48">
        <v>0.3</v>
      </c>
      <c r="F48">
        <f t="shared" si="2"/>
        <v>0.10768126346015792</v>
      </c>
      <c r="H48" t="s">
        <v>585</v>
      </c>
      <c r="I48">
        <v>336.1</v>
      </c>
      <c r="J48">
        <v>799</v>
      </c>
      <c r="K48">
        <v>2.4</v>
      </c>
      <c r="L48">
        <v>2.2000000000000002</v>
      </c>
      <c r="M48">
        <f t="shared" si="0"/>
        <v>2.2907110091743119</v>
      </c>
      <c r="O48" t="s">
        <v>585</v>
      </c>
      <c r="P48">
        <v>264.2</v>
      </c>
      <c r="Q48">
        <v>433</v>
      </c>
      <c r="R48">
        <v>1.6</v>
      </c>
      <c r="S48">
        <v>1.5</v>
      </c>
      <c r="T48">
        <f t="shared" si="1"/>
        <v>1.5808689302665209</v>
      </c>
    </row>
    <row r="49" spans="1:20" x14ac:dyDescent="0.25">
      <c r="A49" t="s">
        <v>586</v>
      </c>
      <c r="B49">
        <v>17.2</v>
      </c>
      <c r="C49">
        <v>8</v>
      </c>
      <c r="D49">
        <v>0.5</v>
      </c>
      <c r="E49">
        <v>0.4</v>
      </c>
      <c r="F49">
        <f t="shared" si="2"/>
        <v>2.8715003589375447E-2</v>
      </c>
      <c r="H49" t="s">
        <v>586</v>
      </c>
      <c r="I49">
        <v>100.4</v>
      </c>
      <c r="J49">
        <v>130</v>
      </c>
      <c r="K49">
        <v>1.3</v>
      </c>
      <c r="L49">
        <v>1.1000000000000001</v>
      </c>
      <c r="M49">
        <f t="shared" si="0"/>
        <v>0.37270642201834864</v>
      </c>
      <c r="O49" t="s">
        <v>586</v>
      </c>
      <c r="P49">
        <v>161.1</v>
      </c>
      <c r="Q49">
        <v>224</v>
      </c>
      <c r="R49">
        <v>1.4</v>
      </c>
      <c r="S49">
        <v>1.5</v>
      </c>
      <c r="T49">
        <f t="shared" si="1"/>
        <v>0.81781672143117934</v>
      </c>
    </row>
    <row r="50" spans="1:20" x14ac:dyDescent="0.25">
      <c r="A50" t="s">
        <v>587</v>
      </c>
      <c r="B50">
        <v>0.9</v>
      </c>
      <c r="C50">
        <v>0</v>
      </c>
      <c r="D50">
        <v>0</v>
      </c>
      <c r="E50">
        <v>0</v>
      </c>
      <c r="F50">
        <f t="shared" si="2"/>
        <v>0</v>
      </c>
      <c r="H50" t="s">
        <v>587</v>
      </c>
      <c r="I50">
        <v>250.1</v>
      </c>
      <c r="J50">
        <v>6</v>
      </c>
      <c r="K50">
        <v>0</v>
      </c>
      <c r="L50">
        <v>0</v>
      </c>
      <c r="M50">
        <f t="shared" si="0"/>
        <v>1.7201834862385322E-2</v>
      </c>
      <c r="O50" t="s">
        <v>587</v>
      </c>
      <c r="P50">
        <v>97.4</v>
      </c>
      <c r="Q50">
        <v>2</v>
      </c>
      <c r="R50">
        <v>0</v>
      </c>
      <c r="S50">
        <v>0</v>
      </c>
      <c r="T50">
        <f t="shared" si="1"/>
        <v>7.3019350127783867E-3</v>
      </c>
    </row>
    <row r="51" spans="1:20" x14ac:dyDescent="0.25">
      <c r="A51" t="s">
        <v>588</v>
      </c>
      <c r="B51">
        <v>0</v>
      </c>
      <c r="C51" t="s">
        <v>566</v>
      </c>
      <c r="D51" t="s">
        <v>566</v>
      </c>
      <c r="E51" t="s">
        <v>566</v>
      </c>
      <c r="F51" t="e">
        <f t="shared" si="2"/>
        <v>#VALUE!</v>
      </c>
      <c r="H51" t="s">
        <v>588</v>
      </c>
      <c r="I51">
        <v>5.6</v>
      </c>
      <c r="J51">
        <v>15</v>
      </c>
      <c r="K51">
        <v>2.7</v>
      </c>
      <c r="L51">
        <v>2.2000000000000002</v>
      </c>
      <c r="M51">
        <f t="shared" si="0"/>
        <v>4.3004587155963302E-2</v>
      </c>
      <c r="O51" t="s">
        <v>588</v>
      </c>
      <c r="P51">
        <v>3.5</v>
      </c>
      <c r="Q51">
        <v>10</v>
      </c>
      <c r="R51">
        <v>2.8</v>
      </c>
      <c r="S51">
        <v>2.2999999999999998</v>
      </c>
      <c r="T51">
        <f t="shared" si="1"/>
        <v>3.6509675063891932E-2</v>
      </c>
    </row>
    <row r="52" spans="1:20" x14ac:dyDescent="0.25">
      <c r="A52" t="s">
        <v>589</v>
      </c>
      <c r="B52">
        <v>261.89999999999998</v>
      </c>
      <c r="C52">
        <v>353</v>
      </c>
      <c r="D52">
        <v>1.3</v>
      </c>
      <c r="E52">
        <v>1.5</v>
      </c>
      <c r="F52">
        <f t="shared" si="2"/>
        <v>1.2670495333811915</v>
      </c>
      <c r="H52" t="s">
        <v>589</v>
      </c>
      <c r="I52">
        <v>657.1</v>
      </c>
      <c r="J52">
        <v>1719</v>
      </c>
      <c r="K52">
        <v>2.6</v>
      </c>
      <c r="L52">
        <v>1.7</v>
      </c>
      <c r="M52">
        <f t="shared" si="0"/>
        <v>4.9283256880733948</v>
      </c>
      <c r="O52" t="s">
        <v>589</v>
      </c>
      <c r="P52">
        <v>596.1</v>
      </c>
      <c r="Q52">
        <v>1184</v>
      </c>
      <c r="R52">
        <v>2</v>
      </c>
      <c r="S52">
        <v>1.5</v>
      </c>
      <c r="T52">
        <f t="shared" si="1"/>
        <v>4.3227455275648055</v>
      </c>
    </row>
    <row r="53" spans="1:20" x14ac:dyDescent="0.25">
      <c r="A53" t="s">
        <v>590</v>
      </c>
      <c r="B53">
        <v>1.6</v>
      </c>
      <c r="C53">
        <v>1</v>
      </c>
      <c r="D53">
        <v>0.5</v>
      </c>
      <c r="E53">
        <v>0.3</v>
      </c>
      <c r="F53">
        <f t="shared" si="2"/>
        <v>3.5893754486719309E-3</v>
      </c>
      <c r="H53" t="s">
        <v>590</v>
      </c>
      <c r="I53">
        <v>291.10000000000002</v>
      </c>
      <c r="J53">
        <v>949</v>
      </c>
      <c r="K53">
        <v>3.3</v>
      </c>
      <c r="L53">
        <v>2.7</v>
      </c>
      <c r="M53">
        <f t="shared" si="0"/>
        <v>2.7207568807339451</v>
      </c>
      <c r="O53" t="s">
        <v>590</v>
      </c>
      <c r="P53">
        <v>159.6</v>
      </c>
      <c r="Q53">
        <v>386</v>
      </c>
      <c r="R53">
        <v>2.4</v>
      </c>
      <c r="S53">
        <v>1.7</v>
      </c>
      <c r="T53">
        <f t="shared" si="1"/>
        <v>1.4092734574662287</v>
      </c>
    </row>
    <row r="54" spans="1:20" x14ac:dyDescent="0.25">
      <c r="A54" t="s">
        <v>591</v>
      </c>
      <c r="B54">
        <v>1.3</v>
      </c>
      <c r="C54">
        <v>0</v>
      </c>
      <c r="D54">
        <v>0.2</v>
      </c>
      <c r="E54">
        <v>0.1</v>
      </c>
      <c r="F54">
        <f t="shared" si="2"/>
        <v>0</v>
      </c>
      <c r="H54" t="s">
        <v>591</v>
      </c>
      <c r="I54">
        <v>290.5</v>
      </c>
      <c r="J54">
        <v>332</v>
      </c>
      <c r="K54">
        <v>1.1000000000000001</v>
      </c>
      <c r="L54">
        <v>1</v>
      </c>
      <c r="M54">
        <f t="shared" si="0"/>
        <v>0.95183486238532111</v>
      </c>
      <c r="O54" t="s">
        <v>591</v>
      </c>
      <c r="P54">
        <v>158.5</v>
      </c>
      <c r="Q54">
        <v>135</v>
      </c>
      <c r="R54">
        <v>0.9</v>
      </c>
      <c r="S54">
        <v>0.6</v>
      </c>
      <c r="T54">
        <f t="shared" si="1"/>
        <v>0.49288061336254113</v>
      </c>
    </row>
    <row r="55" spans="1:20" x14ac:dyDescent="0.25">
      <c r="A55" t="s">
        <v>592</v>
      </c>
      <c r="B55">
        <v>1.6</v>
      </c>
      <c r="C55">
        <v>1</v>
      </c>
      <c r="D55">
        <v>0.3</v>
      </c>
      <c r="E55">
        <v>0.2</v>
      </c>
      <c r="F55">
        <f t="shared" si="2"/>
        <v>3.5893754486719309E-3</v>
      </c>
      <c r="H55" t="s">
        <v>592</v>
      </c>
      <c r="I55">
        <v>291.10000000000002</v>
      </c>
      <c r="J55">
        <v>617</v>
      </c>
      <c r="K55">
        <v>2.1</v>
      </c>
      <c r="L55">
        <v>1.8</v>
      </c>
      <c r="M55">
        <f t="shared" si="0"/>
        <v>1.7689220183486238</v>
      </c>
      <c r="O55" t="s">
        <v>592</v>
      </c>
      <c r="P55">
        <v>159.6</v>
      </c>
      <c r="Q55">
        <v>251</v>
      </c>
      <c r="R55">
        <v>1.6</v>
      </c>
      <c r="S55">
        <v>1.1000000000000001</v>
      </c>
      <c r="T55">
        <f t="shared" si="1"/>
        <v>0.9163928441036876</v>
      </c>
    </row>
    <row r="56" spans="1:20" x14ac:dyDescent="0.25">
      <c r="A56" t="s">
        <v>593</v>
      </c>
      <c r="B56">
        <v>0.2</v>
      </c>
      <c r="C56">
        <v>0</v>
      </c>
      <c r="D56">
        <v>0.5</v>
      </c>
      <c r="E56">
        <v>0.4</v>
      </c>
      <c r="F56">
        <f t="shared" si="2"/>
        <v>0</v>
      </c>
      <c r="H56" t="s">
        <v>593</v>
      </c>
      <c r="I56">
        <v>7.9</v>
      </c>
      <c r="J56">
        <v>14</v>
      </c>
      <c r="K56">
        <v>1.8</v>
      </c>
      <c r="L56">
        <v>0.8</v>
      </c>
      <c r="M56">
        <f t="shared" si="0"/>
        <v>4.0137614678899078E-2</v>
      </c>
      <c r="O56" t="s">
        <v>593</v>
      </c>
      <c r="P56">
        <v>5</v>
      </c>
      <c r="Q56">
        <v>11</v>
      </c>
      <c r="R56">
        <v>2.1</v>
      </c>
      <c r="S56">
        <v>0.7</v>
      </c>
      <c r="T56">
        <f t="shared" si="1"/>
        <v>4.0160642570281131E-2</v>
      </c>
    </row>
    <row r="57" spans="1:20" x14ac:dyDescent="0.25">
      <c r="A57" t="s">
        <v>594</v>
      </c>
      <c r="B57">
        <v>261.8</v>
      </c>
      <c r="C57">
        <v>352</v>
      </c>
      <c r="D57">
        <v>1.3</v>
      </c>
      <c r="E57">
        <v>1.5</v>
      </c>
      <c r="F57">
        <f t="shared" si="2"/>
        <v>1.2634601579325195</v>
      </c>
      <c r="H57" t="s">
        <v>594</v>
      </c>
      <c r="I57">
        <v>643.70000000000005</v>
      </c>
      <c r="J57">
        <v>756</v>
      </c>
      <c r="K57">
        <v>1.2</v>
      </c>
      <c r="L57">
        <v>0.7</v>
      </c>
      <c r="M57">
        <f t="shared" si="0"/>
        <v>2.1674311926605503</v>
      </c>
      <c r="O57" t="s">
        <v>594</v>
      </c>
      <c r="P57">
        <v>582.29999999999995</v>
      </c>
      <c r="Q57">
        <v>787</v>
      </c>
      <c r="R57">
        <v>1.4</v>
      </c>
      <c r="S57">
        <v>1.4</v>
      </c>
      <c r="T57">
        <f t="shared" si="1"/>
        <v>2.8733114275282952</v>
      </c>
    </row>
    <row r="58" spans="1:20" x14ac:dyDescent="0.25">
      <c r="A58" t="s">
        <v>514</v>
      </c>
      <c r="B58">
        <v>278.60000000000002</v>
      </c>
      <c r="C58">
        <v>660</v>
      </c>
      <c r="D58">
        <v>2.4</v>
      </c>
      <c r="E58" s="57">
        <v>2.2999999999999998</v>
      </c>
      <c r="F58">
        <f t="shared" si="2"/>
        <v>2.3689877961234744</v>
      </c>
      <c r="H58" t="s">
        <v>514</v>
      </c>
      <c r="I58">
        <v>803.7</v>
      </c>
      <c r="J58">
        <v>3159</v>
      </c>
      <c r="K58">
        <v>3.9</v>
      </c>
      <c r="L58" s="57">
        <v>3.4</v>
      </c>
      <c r="M58">
        <f t="shared" si="0"/>
        <v>9.0567660550458715</v>
      </c>
      <c r="O58" t="s">
        <v>514</v>
      </c>
      <c r="P58">
        <v>803.7</v>
      </c>
      <c r="Q58">
        <v>2450</v>
      </c>
      <c r="R58">
        <v>3</v>
      </c>
      <c r="S58">
        <v>2.4</v>
      </c>
      <c r="T58">
        <f t="shared" si="1"/>
        <v>8.9448703906535236</v>
      </c>
    </row>
    <row r="59" spans="1:20" x14ac:dyDescent="0.25">
      <c r="A59" t="s">
        <v>595</v>
      </c>
      <c r="B59">
        <v>278.60000000000002</v>
      </c>
      <c r="C59">
        <v>472</v>
      </c>
      <c r="D59">
        <v>1.7</v>
      </c>
      <c r="E59">
        <v>1.5</v>
      </c>
      <c r="F59">
        <f t="shared" si="2"/>
        <v>1.6941852117731513</v>
      </c>
      <c r="H59" t="s">
        <v>595</v>
      </c>
      <c r="I59">
        <v>803.7</v>
      </c>
      <c r="J59">
        <v>2613</v>
      </c>
      <c r="K59">
        <v>3.3</v>
      </c>
      <c r="L59">
        <v>2.8</v>
      </c>
      <c r="M59">
        <f t="shared" si="0"/>
        <v>7.4913990825688073</v>
      </c>
      <c r="O59" t="s">
        <v>595</v>
      </c>
      <c r="P59">
        <v>803.7</v>
      </c>
      <c r="Q59">
        <v>1997</v>
      </c>
      <c r="R59">
        <v>2.5</v>
      </c>
      <c r="S59">
        <v>1.8</v>
      </c>
      <c r="T59">
        <f t="shared" si="1"/>
        <v>7.2909821102592192</v>
      </c>
    </row>
    <row r="60" spans="1:20" x14ac:dyDescent="0.25">
      <c r="A60" t="s">
        <v>596</v>
      </c>
      <c r="B60">
        <v>0</v>
      </c>
      <c r="C60" t="s">
        <v>566</v>
      </c>
      <c r="D60" t="s">
        <v>566</v>
      </c>
      <c r="E60" t="s">
        <v>566</v>
      </c>
      <c r="F60" t="e">
        <f t="shared" si="2"/>
        <v>#VALUE!</v>
      </c>
      <c r="H60" t="s">
        <v>596</v>
      </c>
      <c r="I60">
        <v>4.9000000000000004</v>
      </c>
      <c r="J60">
        <v>9</v>
      </c>
      <c r="K60">
        <v>1.9</v>
      </c>
      <c r="L60">
        <v>1.9</v>
      </c>
      <c r="M60">
        <f t="shared" si="0"/>
        <v>2.580275229357798E-2</v>
      </c>
      <c r="O60" t="s">
        <v>596</v>
      </c>
      <c r="P60">
        <v>3.6</v>
      </c>
      <c r="Q60">
        <v>6</v>
      </c>
      <c r="R60">
        <v>1.7</v>
      </c>
      <c r="S60">
        <v>1.4</v>
      </c>
      <c r="T60">
        <f t="shared" si="1"/>
        <v>2.1905805038335162E-2</v>
      </c>
    </row>
    <row r="61" spans="1:20" x14ac:dyDescent="0.25">
      <c r="A61" t="s">
        <v>597</v>
      </c>
      <c r="B61">
        <v>70.3</v>
      </c>
      <c r="C61">
        <v>23</v>
      </c>
      <c r="D61">
        <v>0.3</v>
      </c>
      <c r="E61">
        <v>0.3</v>
      </c>
      <c r="F61">
        <f t="shared" si="2"/>
        <v>8.255563531945441E-2</v>
      </c>
      <c r="H61" t="s">
        <v>597</v>
      </c>
      <c r="I61">
        <v>343.7</v>
      </c>
      <c r="J61">
        <v>615</v>
      </c>
      <c r="K61">
        <v>1.8</v>
      </c>
      <c r="L61">
        <v>1.7</v>
      </c>
      <c r="M61">
        <f t="shared" si="0"/>
        <v>1.7631880733944953</v>
      </c>
      <c r="O61" t="s">
        <v>597</v>
      </c>
      <c r="P61">
        <v>268.89999999999998</v>
      </c>
      <c r="Q61">
        <v>332</v>
      </c>
      <c r="R61">
        <v>1.2</v>
      </c>
      <c r="S61">
        <v>1.2</v>
      </c>
      <c r="T61">
        <f t="shared" si="1"/>
        <v>1.2121212121212122</v>
      </c>
    </row>
    <row r="62" spans="1:20" x14ac:dyDescent="0.25">
      <c r="A62" t="s">
        <v>598</v>
      </c>
      <c r="B62">
        <v>12.6</v>
      </c>
      <c r="C62">
        <v>4</v>
      </c>
      <c r="D62">
        <v>0.3</v>
      </c>
      <c r="E62">
        <v>0.2</v>
      </c>
      <c r="F62">
        <f t="shared" si="2"/>
        <v>1.4357501794687724E-2</v>
      </c>
      <c r="H62" t="s">
        <v>598</v>
      </c>
      <c r="I62">
        <v>453.7</v>
      </c>
      <c r="J62">
        <v>593</v>
      </c>
      <c r="K62">
        <v>1.3</v>
      </c>
      <c r="L62">
        <v>1.3</v>
      </c>
      <c r="M62">
        <f t="shared" si="0"/>
        <v>1.7001146788990824</v>
      </c>
      <c r="O62" t="s">
        <v>598</v>
      </c>
      <c r="P62">
        <v>341</v>
      </c>
      <c r="Q62">
        <v>366</v>
      </c>
      <c r="R62">
        <v>1.1000000000000001</v>
      </c>
      <c r="S62">
        <v>1</v>
      </c>
      <c r="T62">
        <f t="shared" si="1"/>
        <v>1.3362541073384449</v>
      </c>
    </row>
    <row r="63" spans="1:20" x14ac:dyDescent="0.25">
      <c r="A63" t="s">
        <v>599</v>
      </c>
      <c r="B63">
        <v>277.10000000000002</v>
      </c>
      <c r="C63">
        <v>293</v>
      </c>
      <c r="D63">
        <v>1.1000000000000001</v>
      </c>
      <c r="E63">
        <v>1.1000000000000001</v>
      </c>
      <c r="F63">
        <f t="shared" si="2"/>
        <v>1.0516870064608757</v>
      </c>
      <c r="H63" t="s">
        <v>599</v>
      </c>
      <c r="I63">
        <v>146.1</v>
      </c>
      <c r="J63">
        <v>138</v>
      </c>
      <c r="K63">
        <v>0.9</v>
      </c>
      <c r="L63">
        <v>0.9</v>
      </c>
      <c r="M63">
        <f t="shared" si="0"/>
        <v>0.39564220183486237</v>
      </c>
      <c r="O63" t="s">
        <v>599</v>
      </c>
      <c r="P63">
        <v>363.7</v>
      </c>
      <c r="Q63">
        <v>381</v>
      </c>
      <c r="R63">
        <v>1</v>
      </c>
      <c r="S63">
        <v>1.1000000000000001</v>
      </c>
      <c r="T63">
        <f t="shared" si="1"/>
        <v>1.3910186199342827</v>
      </c>
    </row>
    <row r="64" spans="1:20" x14ac:dyDescent="0.25">
      <c r="A64" t="s">
        <v>600</v>
      </c>
      <c r="B64">
        <v>5.3</v>
      </c>
      <c r="C64">
        <v>1</v>
      </c>
      <c r="D64">
        <v>0.2</v>
      </c>
      <c r="E64">
        <v>0.1</v>
      </c>
      <c r="F64">
        <f t="shared" si="2"/>
        <v>3.5893754486719309E-3</v>
      </c>
      <c r="H64" t="s">
        <v>600</v>
      </c>
      <c r="I64">
        <v>70</v>
      </c>
      <c r="J64">
        <v>40</v>
      </c>
      <c r="K64">
        <v>0.6</v>
      </c>
      <c r="L64">
        <v>0.4</v>
      </c>
      <c r="M64">
        <f t="shared" si="0"/>
        <v>0.1146788990825688</v>
      </c>
      <c r="O64" t="s">
        <v>600</v>
      </c>
      <c r="P64">
        <v>60.4</v>
      </c>
      <c r="Q64">
        <v>29</v>
      </c>
      <c r="R64">
        <v>0.5</v>
      </c>
      <c r="S64">
        <v>0.3</v>
      </c>
      <c r="T64">
        <f t="shared" si="1"/>
        <v>0.1058780576852866</v>
      </c>
    </row>
    <row r="65" spans="1:20" x14ac:dyDescent="0.25">
      <c r="A65" t="s">
        <v>601</v>
      </c>
      <c r="B65">
        <v>278.60000000000002</v>
      </c>
      <c r="C65">
        <v>151</v>
      </c>
      <c r="D65">
        <v>0.5</v>
      </c>
      <c r="E65">
        <v>0.4</v>
      </c>
      <c r="F65">
        <f t="shared" si="2"/>
        <v>0.54199569274946158</v>
      </c>
      <c r="H65" t="s">
        <v>601</v>
      </c>
      <c r="I65">
        <v>803.7</v>
      </c>
      <c r="J65">
        <v>1219</v>
      </c>
      <c r="K65">
        <v>1.5</v>
      </c>
      <c r="L65">
        <v>1.1000000000000001</v>
      </c>
      <c r="M65">
        <f t="shared" si="0"/>
        <v>3.4948394495412844</v>
      </c>
      <c r="O65" t="s">
        <v>601</v>
      </c>
      <c r="P65">
        <v>803.7</v>
      </c>
      <c r="Q65">
        <v>883</v>
      </c>
      <c r="R65">
        <v>1.1000000000000001</v>
      </c>
      <c r="S65">
        <v>0.5</v>
      </c>
      <c r="T65">
        <f t="shared" si="1"/>
        <v>3.2238043081416579</v>
      </c>
    </row>
    <row r="66" spans="1:20" x14ac:dyDescent="0.25">
      <c r="A66" t="s">
        <v>602</v>
      </c>
      <c r="B66">
        <v>278.60000000000002</v>
      </c>
      <c r="C66">
        <v>619</v>
      </c>
      <c r="D66">
        <v>2.2000000000000002</v>
      </c>
      <c r="E66">
        <v>1.8</v>
      </c>
      <c r="F66">
        <f t="shared" si="2"/>
        <v>2.2218234027279253</v>
      </c>
      <c r="H66" t="s">
        <v>602</v>
      </c>
      <c r="I66">
        <v>803.7</v>
      </c>
      <c r="J66">
        <v>2047</v>
      </c>
      <c r="K66">
        <v>2.5</v>
      </c>
      <c r="L66">
        <v>1.9</v>
      </c>
      <c r="M66">
        <f t="shared" si="0"/>
        <v>5.8686926605504581</v>
      </c>
      <c r="O66" t="s">
        <v>602</v>
      </c>
      <c r="P66">
        <v>803.7</v>
      </c>
      <c r="Q66">
        <v>1955</v>
      </c>
      <c r="R66">
        <v>2.4</v>
      </c>
      <c r="S66">
        <v>1.8</v>
      </c>
      <c r="T66">
        <f t="shared" si="1"/>
        <v>7.1376414749908728</v>
      </c>
    </row>
    <row r="67" spans="1:20" x14ac:dyDescent="0.25">
      <c r="A67" t="s">
        <v>603</v>
      </c>
      <c r="B67">
        <v>277.2</v>
      </c>
      <c r="C67">
        <v>468</v>
      </c>
      <c r="D67">
        <v>1.7</v>
      </c>
      <c r="E67">
        <v>1.3</v>
      </c>
      <c r="F67">
        <f t="shared" si="2"/>
        <v>1.6798277099784635</v>
      </c>
      <c r="H67" t="s">
        <v>603</v>
      </c>
      <c r="I67">
        <v>635.4</v>
      </c>
      <c r="J67">
        <v>828</v>
      </c>
      <c r="K67">
        <v>1.3</v>
      </c>
      <c r="L67">
        <v>1.3</v>
      </c>
      <c r="M67">
        <f t="shared" si="0"/>
        <v>2.3738532110091741</v>
      </c>
      <c r="O67" t="s">
        <v>603</v>
      </c>
      <c r="P67">
        <v>711.9</v>
      </c>
      <c r="Q67">
        <v>1072</v>
      </c>
      <c r="R67">
        <v>1.5</v>
      </c>
      <c r="S67">
        <v>1.3</v>
      </c>
      <c r="T67">
        <f t="shared" si="1"/>
        <v>3.9138371668492153</v>
      </c>
    </row>
    <row r="68" spans="1:20" x14ac:dyDescent="0.25">
      <c r="A68" t="s">
        <v>604</v>
      </c>
      <c r="B68">
        <v>261.8</v>
      </c>
      <c r="C68">
        <v>189</v>
      </c>
      <c r="D68">
        <v>0.7</v>
      </c>
      <c r="E68">
        <v>0.8</v>
      </c>
      <c r="F68">
        <f t="shared" si="2"/>
        <v>0.67839195979899491</v>
      </c>
      <c r="H68" t="s">
        <v>604</v>
      </c>
      <c r="I68">
        <v>662.5</v>
      </c>
      <c r="J68">
        <v>546</v>
      </c>
      <c r="K68">
        <v>0.8</v>
      </c>
      <c r="L68">
        <v>0.7</v>
      </c>
      <c r="M68">
        <f t="shared" si="0"/>
        <v>1.5653669724770642</v>
      </c>
      <c r="O68" t="s">
        <v>604</v>
      </c>
      <c r="P68">
        <v>594.5</v>
      </c>
      <c r="Q68">
        <v>453</v>
      </c>
      <c r="R68">
        <v>0.8</v>
      </c>
      <c r="S68">
        <v>0.7</v>
      </c>
      <c r="T68">
        <f t="shared" si="1"/>
        <v>1.6538882803943047</v>
      </c>
    </row>
    <row r="69" spans="1:20" x14ac:dyDescent="0.25">
      <c r="A69" t="s">
        <v>515</v>
      </c>
      <c r="B69">
        <v>263.39999999999998</v>
      </c>
      <c r="C69">
        <v>183</v>
      </c>
      <c r="D69">
        <v>0.7</v>
      </c>
      <c r="E69" s="57">
        <v>0.8</v>
      </c>
      <c r="F69">
        <f t="shared" si="2"/>
        <v>0.65685570710696328</v>
      </c>
      <c r="H69" t="s">
        <v>515</v>
      </c>
      <c r="I69">
        <v>710.8</v>
      </c>
      <c r="J69">
        <v>786</v>
      </c>
      <c r="K69">
        <v>1.1000000000000001</v>
      </c>
      <c r="L69" s="57">
        <v>0.7</v>
      </c>
      <c r="M69">
        <f t="shared" si="0"/>
        <v>2.2534403669724772</v>
      </c>
      <c r="O69" t="s">
        <v>515</v>
      </c>
      <c r="P69">
        <v>637.5</v>
      </c>
      <c r="Q69">
        <v>578</v>
      </c>
      <c r="R69">
        <v>0.9</v>
      </c>
      <c r="S69">
        <v>0.7</v>
      </c>
      <c r="T69">
        <f t="shared" si="1"/>
        <v>2.1102592186929536</v>
      </c>
    </row>
    <row r="70" spans="1:20" x14ac:dyDescent="0.25">
      <c r="A70" t="s">
        <v>516</v>
      </c>
      <c r="B70">
        <v>278.60000000000002</v>
      </c>
      <c r="C70">
        <v>5812</v>
      </c>
      <c r="D70">
        <v>20.9</v>
      </c>
      <c r="E70">
        <v>18.399999999999999</v>
      </c>
      <c r="F70">
        <f>C70/B$25</f>
        <v>20.861450107681261</v>
      </c>
      <c r="H70" t="s">
        <v>516</v>
      </c>
      <c r="I70">
        <v>803.7</v>
      </c>
      <c r="J70">
        <v>22512</v>
      </c>
      <c r="K70">
        <v>28</v>
      </c>
      <c r="L70">
        <v>23.8</v>
      </c>
      <c r="M70">
        <f t="shared" si="0"/>
        <v>64.541284403669721</v>
      </c>
      <c r="N70">
        <f>L70-L7</f>
        <v>-9.3000000000000007</v>
      </c>
      <c r="O70" t="s">
        <v>516</v>
      </c>
      <c r="P70">
        <v>803.7</v>
      </c>
      <c r="Q70">
        <v>18958</v>
      </c>
      <c r="R70">
        <v>23.6</v>
      </c>
      <c r="S70">
        <v>20.6</v>
      </c>
      <c r="T70">
        <f t="shared" si="1"/>
        <v>69.215041986126323</v>
      </c>
    </row>
    <row r="71" spans="1:20" x14ac:dyDescent="0.25">
      <c r="A71" t="s">
        <v>517</v>
      </c>
      <c r="H71" t="s">
        <v>517</v>
      </c>
      <c r="O71" t="s">
        <v>517</v>
      </c>
    </row>
    <row r="75" spans="1:20" x14ac:dyDescent="0.25">
      <c r="A75" t="s">
        <v>541</v>
      </c>
      <c r="B75">
        <f>E25</f>
        <v>19.100000000000001</v>
      </c>
      <c r="D75">
        <f>L8+L10</f>
        <v>33.1</v>
      </c>
      <c r="F75">
        <f>S8+S10</f>
        <v>21.6</v>
      </c>
      <c r="H75">
        <f>F25</f>
        <v>20.240488155061019</v>
      </c>
      <c r="J75">
        <f>M7</f>
        <v>34.607224770642198</v>
      </c>
      <c r="L75">
        <f>T7</f>
        <v>23.468419131069737</v>
      </c>
    </row>
    <row r="76" spans="1:20" x14ac:dyDescent="0.25">
      <c r="A76" t="s">
        <v>524</v>
      </c>
      <c r="B76">
        <f>E30*B30/B25</f>
        <v>1.829289303661163</v>
      </c>
      <c r="D76">
        <f>L30*I30/I7</f>
        <v>1.6956135321100918</v>
      </c>
      <c r="F76">
        <f>S30*P30/P7</f>
        <v>2.7601314348302304</v>
      </c>
      <c r="H76">
        <f>F31</f>
        <v>0.64608758076094752</v>
      </c>
      <c r="J76">
        <f>M31</f>
        <v>0.69380733944954132</v>
      </c>
      <c r="L76">
        <f>T31</f>
        <v>0.97115735669952541</v>
      </c>
    </row>
    <row r="77" spans="1:20" x14ac:dyDescent="0.25">
      <c r="A77" t="s">
        <v>525</v>
      </c>
      <c r="H77">
        <f>F32</f>
        <v>1.3316582914572863</v>
      </c>
      <c r="J77">
        <f>M32</f>
        <v>1.0120412844036697</v>
      </c>
      <c r="L77">
        <f>T32</f>
        <v>1.7889740781307049</v>
      </c>
    </row>
    <row r="78" spans="1:20" x14ac:dyDescent="0.25">
      <c r="A78" t="s">
        <v>526</v>
      </c>
      <c r="B78">
        <f>E35</f>
        <v>3.5</v>
      </c>
      <c r="D78">
        <f>L35</f>
        <v>2.6</v>
      </c>
      <c r="F78">
        <f>S35</f>
        <v>3.3</v>
      </c>
      <c r="H78">
        <f>F35</f>
        <v>2.9935391241923903</v>
      </c>
      <c r="J78">
        <f>M35</f>
        <v>2.5745412844036695</v>
      </c>
      <c r="L78">
        <f>T35</f>
        <v>5.8525009127418768</v>
      </c>
    </row>
    <row r="79" spans="1:20" x14ac:dyDescent="0.25">
      <c r="A79" t="s">
        <v>527</v>
      </c>
      <c r="B79">
        <f>E40</f>
        <v>1.5</v>
      </c>
      <c r="D79">
        <f>L40</f>
        <v>3.8</v>
      </c>
      <c r="F79">
        <f>S40</f>
        <v>2.5</v>
      </c>
      <c r="H79">
        <f>E40</f>
        <v>1.5</v>
      </c>
      <c r="J79">
        <f>L40</f>
        <v>3.8</v>
      </c>
      <c r="L79">
        <f>S40</f>
        <v>2.5</v>
      </c>
    </row>
    <row r="80" spans="1:20" x14ac:dyDescent="0.25">
      <c r="A80" t="s">
        <v>528</v>
      </c>
      <c r="B80">
        <f>E58</f>
        <v>2.2999999999999998</v>
      </c>
      <c r="D80">
        <f>L58</f>
        <v>3.4</v>
      </c>
      <c r="F80">
        <f>S58</f>
        <v>2.4</v>
      </c>
      <c r="H80">
        <f>E58</f>
        <v>2.2999999999999998</v>
      </c>
      <c r="J80">
        <f>L58</f>
        <v>3.4</v>
      </c>
      <c r="L80">
        <f>S58</f>
        <v>2.4</v>
      </c>
    </row>
    <row r="81" spans="1:12" x14ac:dyDescent="0.25">
      <c r="A81" t="s">
        <v>529</v>
      </c>
      <c r="B81">
        <f>E69</f>
        <v>0.8</v>
      </c>
      <c r="D81">
        <f>L69</f>
        <v>0.7</v>
      </c>
      <c r="F81">
        <f>S69</f>
        <v>0.7</v>
      </c>
      <c r="H81">
        <f>E69</f>
        <v>0.8</v>
      </c>
      <c r="J81">
        <f>L69</f>
        <v>0.7</v>
      </c>
      <c r="L81">
        <f>S69</f>
        <v>0.7</v>
      </c>
    </row>
    <row r="82" spans="1:12" x14ac:dyDescent="0.25">
      <c r="A82" t="s">
        <v>530</v>
      </c>
      <c r="B82">
        <f>B75+B78-B79-B80-B81+B76</f>
        <v>19.829289303661163</v>
      </c>
      <c r="D82">
        <f>D75+D78-D79-D80-D81</f>
        <v>27.800000000000004</v>
      </c>
      <c r="F82">
        <f>F75+F78-F79-F80-F81</f>
        <v>19.300000000000004</v>
      </c>
      <c r="H82">
        <f>H75+H76+H77+H78-H79-H80-H81</f>
        <v>20.611773151471645</v>
      </c>
      <c r="J82">
        <f>J75+J76+J77+J78-J79-J80-J81</f>
        <v>30.987614678899089</v>
      </c>
      <c r="L82">
        <f>L75+L76+L77+L78-L79-L80-L81</f>
        <v>26.481051478641842</v>
      </c>
    </row>
    <row r="83" spans="1:12" x14ac:dyDescent="0.25">
      <c r="B83">
        <f>B82-B75</f>
        <v>0.72928930366116163</v>
      </c>
      <c r="D83">
        <f t="shared" ref="D83:F83" si="3">D82-D75</f>
        <v>-5.2999999999999972</v>
      </c>
      <c r="F83">
        <f t="shared" si="3"/>
        <v>-2.2999999999999972</v>
      </c>
      <c r="H83">
        <f>H82-H75</f>
        <v>0.37128499641062618</v>
      </c>
      <c r="J83">
        <f>J82-J75</f>
        <v>-3.6196100917431089</v>
      </c>
      <c r="L83">
        <f>L82-L75</f>
        <v>3.0126323475721044</v>
      </c>
    </row>
    <row r="84" spans="1:12" x14ac:dyDescent="0.25">
      <c r="B84">
        <f>B83/B75</f>
        <v>3.8182686055558197E-2</v>
      </c>
      <c r="D84">
        <f>D83/D75</f>
        <v>-0.16012084592145007</v>
      </c>
      <c r="F84">
        <f>F83/F75</f>
        <v>-0.10648148148148134</v>
      </c>
      <c r="H84">
        <f>H83/H75</f>
        <v>1.8343677957084671E-2</v>
      </c>
    </row>
    <row r="86" spans="1:12" x14ac:dyDescent="0.25">
      <c r="B86">
        <f>SUM(B76:B78)-SUM(B79:B81)</f>
        <v>0.7292893036611634</v>
      </c>
      <c r="D86">
        <f t="shared" ref="D86:F86" si="4">SUM(D76:D78)-SUM(D79:D81)</f>
        <v>-3.6043864678899071</v>
      </c>
      <c r="F86">
        <f t="shared" si="4"/>
        <v>0.46013143483023011</v>
      </c>
    </row>
    <row r="87" spans="1:12" x14ac:dyDescent="0.25">
      <c r="A87" t="s">
        <v>606</v>
      </c>
    </row>
    <row r="91" spans="1:12" x14ac:dyDescent="0.25">
      <c r="A91" t="s">
        <v>525</v>
      </c>
      <c r="B91">
        <f>E30*B30/B25</f>
        <v>1.829289303661163</v>
      </c>
      <c r="D91">
        <f>L30*$B30/$B25</f>
        <v>1.4457286432160803</v>
      </c>
      <c r="F91">
        <f>S30*$B30/$B25</f>
        <v>1.6522613065326632</v>
      </c>
    </row>
    <row r="92" spans="1:12" x14ac:dyDescent="0.25">
      <c r="A92" t="s">
        <v>526</v>
      </c>
      <c r="B92">
        <f>E35</f>
        <v>3.5</v>
      </c>
      <c r="D92">
        <f>L35</f>
        <v>2.6</v>
      </c>
      <c r="F92">
        <f>S35</f>
        <v>3.3</v>
      </c>
    </row>
    <row r="93" spans="1:12" x14ac:dyDescent="0.25">
      <c r="A93" t="s">
        <v>527</v>
      </c>
      <c r="B93">
        <f>E40</f>
        <v>1.5</v>
      </c>
      <c r="D93">
        <f>L40</f>
        <v>3.8</v>
      </c>
      <c r="F93">
        <f>S40</f>
        <v>2.5</v>
      </c>
    </row>
    <row r="94" spans="1:12" x14ac:dyDescent="0.25">
      <c r="A94" t="s">
        <v>528</v>
      </c>
      <c r="B94">
        <f>E58</f>
        <v>2.2999999999999998</v>
      </c>
      <c r="D94">
        <f>L58</f>
        <v>3.4</v>
      </c>
      <c r="F94">
        <f>S58</f>
        <v>2.4</v>
      </c>
    </row>
    <row r="95" spans="1:12" x14ac:dyDescent="0.25">
      <c r="A95" t="s">
        <v>529</v>
      </c>
      <c r="B95">
        <f>E69</f>
        <v>0.8</v>
      </c>
      <c r="D95">
        <f>L69</f>
        <v>0.7</v>
      </c>
      <c r="F95">
        <f>S69</f>
        <v>0.7</v>
      </c>
    </row>
    <row r="96" spans="1:12" x14ac:dyDescent="0.25">
      <c r="B96">
        <f>B91+B92-B93-B94-B95</f>
        <v>0.72928930366116318</v>
      </c>
      <c r="D96">
        <f>D91+D92-D93-D94-D95</f>
        <v>-3.8542713567839195</v>
      </c>
      <c r="F96">
        <f>F91+F92-F93-F94-F95</f>
        <v>-0.64773869346733659</v>
      </c>
      <c r="H96">
        <f>D96-B96</f>
        <v>-4.5835606604450829</v>
      </c>
      <c r="J96">
        <f>F96-B96</f>
        <v>-1.3770279971284998</v>
      </c>
    </row>
    <row r="98" spans="1:19" x14ac:dyDescent="0.25">
      <c r="A98" t="s">
        <v>504</v>
      </c>
      <c r="B98">
        <v>78.3</v>
      </c>
      <c r="C98">
        <v>180</v>
      </c>
      <c r="D98">
        <v>2.2999999999999998</v>
      </c>
      <c r="E98">
        <v>2</v>
      </c>
      <c r="G98">
        <f>L98-E98</f>
        <v>0</v>
      </c>
      <c r="H98" t="s">
        <v>504</v>
      </c>
      <c r="I98">
        <v>116</v>
      </c>
      <c r="J98">
        <v>242</v>
      </c>
      <c r="K98">
        <v>2.1</v>
      </c>
      <c r="L98">
        <v>2</v>
      </c>
      <c r="O98" t="s">
        <v>504</v>
      </c>
      <c r="P98">
        <v>130.5</v>
      </c>
      <c r="Q98">
        <v>266</v>
      </c>
      <c r="R98">
        <v>2</v>
      </c>
      <c r="S98">
        <v>1.8</v>
      </c>
    </row>
    <row r="99" spans="1:19" x14ac:dyDescent="0.25">
      <c r="A99" t="s">
        <v>505</v>
      </c>
      <c r="B99">
        <v>81.900000000000006</v>
      </c>
      <c r="C99">
        <v>371</v>
      </c>
      <c r="D99">
        <v>4.5</v>
      </c>
      <c r="E99">
        <v>4.7</v>
      </c>
      <c r="G99">
        <f t="shared" ref="G99:G105" si="5">L99-E99</f>
        <v>-1.6</v>
      </c>
      <c r="H99" t="s">
        <v>505</v>
      </c>
      <c r="I99">
        <v>107.2</v>
      </c>
      <c r="J99">
        <v>353</v>
      </c>
      <c r="K99">
        <v>3.3</v>
      </c>
      <c r="L99">
        <v>3.1</v>
      </c>
      <c r="O99" t="s">
        <v>505</v>
      </c>
      <c r="P99">
        <v>125.9</v>
      </c>
      <c r="Q99">
        <v>490</v>
      </c>
      <c r="R99">
        <v>3.9</v>
      </c>
      <c r="S99">
        <v>4.5</v>
      </c>
    </row>
    <row r="100" spans="1:19" x14ac:dyDescent="0.25">
      <c r="A100" t="s">
        <v>506</v>
      </c>
      <c r="B100">
        <v>25.8</v>
      </c>
      <c r="C100">
        <v>111</v>
      </c>
      <c r="D100">
        <v>4.3</v>
      </c>
      <c r="E100">
        <v>4.5</v>
      </c>
      <c r="G100">
        <f t="shared" si="5"/>
        <v>-1.1000000000000001</v>
      </c>
      <c r="H100" t="s">
        <v>506</v>
      </c>
      <c r="I100">
        <v>34.799999999999997</v>
      </c>
      <c r="J100">
        <v>130</v>
      </c>
      <c r="K100">
        <v>3.7</v>
      </c>
      <c r="L100">
        <v>3.4</v>
      </c>
      <c r="O100" t="s">
        <v>506</v>
      </c>
      <c r="P100">
        <v>38.9</v>
      </c>
      <c r="Q100">
        <v>153</v>
      </c>
      <c r="R100">
        <v>3.9</v>
      </c>
      <c r="S100">
        <v>3.7</v>
      </c>
    </row>
    <row r="101" spans="1:19" x14ac:dyDescent="0.25">
      <c r="A101" t="s">
        <v>508</v>
      </c>
      <c r="B101">
        <v>254.9</v>
      </c>
      <c r="C101">
        <v>834</v>
      </c>
      <c r="D101">
        <v>3.3</v>
      </c>
      <c r="E101">
        <v>3.5</v>
      </c>
      <c r="G101">
        <f t="shared" si="5"/>
        <v>-0.89999999999999991</v>
      </c>
      <c r="H101" t="s">
        <v>508</v>
      </c>
      <c r="I101">
        <v>359.4</v>
      </c>
      <c r="J101">
        <v>898</v>
      </c>
      <c r="K101">
        <v>2.5</v>
      </c>
      <c r="L101">
        <v>2.6</v>
      </c>
      <c r="O101" t="s">
        <v>508</v>
      </c>
      <c r="P101">
        <v>533.70000000000005</v>
      </c>
      <c r="Q101">
        <v>1603</v>
      </c>
      <c r="R101">
        <v>3</v>
      </c>
      <c r="S101">
        <v>3.3</v>
      </c>
    </row>
    <row r="102" spans="1:19" x14ac:dyDescent="0.25">
      <c r="A102" t="s">
        <v>509</v>
      </c>
      <c r="B102">
        <v>2.7</v>
      </c>
      <c r="C102">
        <v>2</v>
      </c>
      <c r="D102">
        <v>0.7</v>
      </c>
      <c r="E102">
        <v>0.6</v>
      </c>
      <c r="G102">
        <f t="shared" si="5"/>
        <v>0</v>
      </c>
      <c r="H102" t="s">
        <v>509</v>
      </c>
      <c r="I102">
        <v>1.7</v>
      </c>
      <c r="J102">
        <v>1</v>
      </c>
      <c r="K102">
        <v>0.7</v>
      </c>
      <c r="L102">
        <v>0.6</v>
      </c>
      <c r="O102" t="s">
        <v>509</v>
      </c>
      <c r="P102">
        <v>2.6</v>
      </c>
      <c r="Q102">
        <v>2</v>
      </c>
      <c r="R102">
        <v>0.7</v>
      </c>
      <c r="S102">
        <v>0.6</v>
      </c>
    </row>
    <row r="103" spans="1:19" x14ac:dyDescent="0.25">
      <c r="A103" t="s">
        <v>513</v>
      </c>
      <c r="B103">
        <v>264.60000000000002</v>
      </c>
      <c r="C103">
        <v>414</v>
      </c>
      <c r="D103">
        <v>1.6</v>
      </c>
      <c r="E103">
        <v>1.5</v>
      </c>
      <c r="G103">
        <f t="shared" si="5"/>
        <v>2.2999999999999998</v>
      </c>
      <c r="H103" t="s">
        <v>513</v>
      </c>
      <c r="I103">
        <v>661.9</v>
      </c>
      <c r="J103">
        <v>3116</v>
      </c>
      <c r="K103">
        <v>4.7</v>
      </c>
      <c r="L103">
        <v>3.8</v>
      </c>
      <c r="O103" t="s">
        <v>513</v>
      </c>
      <c r="P103">
        <v>605.70000000000005</v>
      </c>
      <c r="Q103">
        <v>2160</v>
      </c>
      <c r="R103">
        <v>3.6</v>
      </c>
      <c r="S103">
        <v>2.5</v>
      </c>
    </row>
    <row r="104" spans="1:19" x14ac:dyDescent="0.25">
      <c r="A104" t="s">
        <v>514</v>
      </c>
      <c r="B104">
        <v>278.60000000000002</v>
      </c>
      <c r="C104">
        <v>660</v>
      </c>
      <c r="D104">
        <v>2.4</v>
      </c>
      <c r="E104">
        <v>2.2999999999999998</v>
      </c>
      <c r="G104">
        <f t="shared" si="5"/>
        <v>1.1000000000000001</v>
      </c>
      <c r="H104" t="s">
        <v>514</v>
      </c>
      <c r="I104">
        <v>803.7</v>
      </c>
      <c r="J104">
        <v>3159</v>
      </c>
      <c r="K104">
        <v>3.9</v>
      </c>
      <c r="L104">
        <v>3.4</v>
      </c>
      <c r="O104" t="s">
        <v>514</v>
      </c>
      <c r="P104">
        <v>803.7</v>
      </c>
      <c r="Q104">
        <v>2450</v>
      </c>
      <c r="R104">
        <v>3</v>
      </c>
      <c r="S104">
        <v>2.4</v>
      </c>
    </row>
    <row r="105" spans="1:19" x14ac:dyDescent="0.25">
      <c r="A105" t="s">
        <v>515</v>
      </c>
      <c r="B105">
        <v>263.39999999999998</v>
      </c>
      <c r="C105">
        <v>183</v>
      </c>
      <c r="D105">
        <v>0.7</v>
      </c>
      <c r="E105">
        <v>0.8</v>
      </c>
      <c r="G105">
        <f t="shared" si="5"/>
        <v>-0.10000000000000009</v>
      </c>
      <c r="H105" t="s">
        <v>515</v>
      </c>
      <c r="I105">
        <v>710.8</v>
      </c>
      <c r="J105">
        <v>786</v>
      </c>
      <c r="K105">
        <v>1.1000000000000001</v>
      </c>
      <c r="L105">
        <v>0.7</v>
      </c>
      <c r="O105" t="s">
        <v>515</v>
      </c>
      <c r="P105">
        <v>637.5</v>
      </c>
      <c r="Q105">
        <v>578</v>
      </c>
      <c r="R105">
        <v>0.9</v>
      </c>
      <c r="S105">
        <v>0.7</v>
      </c>
    </row>
    <row r="106" spans="1:19" x14ac:dyDescent="0.25">
      <c r="E106">
        <f>E98+E99+E101+E102-E103-E104-E105</f>
        <v>6.1999999999999993</v>
      </c>
      <c r="L106">
        <f>L98+L99+L101+L102-L103-L104-L105</f>
        <v>0.39999999999999925</v>
      </c>
      <c r="S106">
        <f>S98+S99+S100+S102-S103-S104-S105</f>
        <v>4.9999999999999991</v>
      </c>
    </row>
    <row r="108" spans="1:19" x14ac:dyDescent="0.25">
      <c r="H108">
        <f>E106-L106</f>
        <v>5.8</v>
      </c>
    </row>
    <row r="109" spans="1:19" x14ac:dyDescent="0.25">
      <c r="C109">
        <v>17.8</v>
      </c>
      <c r="D109">
        <f>C109*G111/F111</f>
        <v>0.6796518117889373</v>
      </c>
    </row>
    <row r="110" spans="1:19" x14ac:dyDescent="0.25">
      <c r="H110">
        <v>17.8</v>
      </c>
      <c r="I110">
        <f>F114/H110</f>
        <v>6.488233992710625E-2</v>
      </c>
    </row>
    <row r="111" spans="1:19" x14ac:dyDescent="0.25">
      <c r="F111">
        <v>19.100000000000001</v>
      </c>
      <c r="G111">
        <f>B96</f>
        <v>0.72928930366116318</v>
      </c>
      <c r="H111">
        <v>29.879555808656001</v>
      </c>
      <c r="I111">
        <f>F115/H111</f>
        <v>-9.3706445832523577E-2</v>
      </c>
    </row>
    <row r="112" spans="1:19" x14ac:dyDescent="0.25">
      <c r="C112">
        <f>S7</f>
        <v>21.6</v>
      </c>
      <c r="D112">
        <f>F96</f>
        <v>-0.64773869346733659</v>
      </c>
      <c r="F112">
        <f>L7</f>
        <v>33.1</v>
      </c>
      <c r="G112">
        <f>D96</f>
        <v>-3.8542713567839195</v>
      </c>
      <c r="I112">
        <f>I111-I110</f>
        <v>-0.15858878575962981</v>
      </c>
    </row>
    <row r="113" spans="3:6" x14ac:dyDescent="0.25">
      <c r="D113">
        <f>H111*G112/F112</f>
        <v>-3.4792723899314018</v>
      </c>
    </row>
    <row r="114" spans="3:6" x14ac:dyDescent="0.25">
      <c r="C114">
        <v>29.879555808656001</v>
      </c>
      <c r="D114">
        <f>C114*D112/C112</f>
        <v>-0.89602520559644472</v>
      </c>
      <c r="F114" cm="1">
        <f t="array" ref="F114:F115">TREND(G111:G112,F111:F112,H110:H111,TRUE)</f>
        <v>1.1549056507024913</v>
      </c>
    </row>
    <row r="115" spans="3:6" x14ac:dyDescent="0.25">
      <c r="F115">
        <v>-2.7999069778836887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43415-902C-445C-8C7E-37B5E60A8D23}">
  <dimension ref="A1:AA117"/>
  <sheetViews>
    <sheetView showGridLines="0" topLeftCell="A66" zoomScale="74" workbookViewId="0">
      <selection activeCell="A61" sqref="A61"/>
    </sheetView>
  </sheetViews>
  <sheetFormatPr defaultRowHeight="15" x14ac:dyDescent="0.25"/>
  <cols>
    <col min="1" max="1" width="59.5703125" customWidth="1"/>
    <col min="2" max="2" width="13.28515625" customWidth="1"/>
    <col min="5" max="5" width="10.7109375" customWidth="1"/>
  </cols>
  <sheetData>
    <row r="1" spans="1:5" x14ac:dyDescent="0.25">
      <c r="C1" t="s">
        <v>397</v>
      </c>
      <c r="D1" t="s">
        <v>398</v>
      </c>
    </row>
    <row r="2" spans="1:5" x14ac:dyDescent="0.25">
      <c r="A2" s="1" t="s">
        <v>399</v>
      </c>
      <c r="B2" s="2">
        <v>183.100760402688</v>
      </c>
      <c r="D2" s="3">
        <f>B2</f>
        <v>183.100760402688</v>
      </c>
      <c r="E2">
        <f>12*(24.39-10.57)</f>
        <v>165.84</v>
      </c>
    </row>
    <row r="3" spans="1:5" x14ac:dyDescent="0.25">
      <c r="A3" s="1" t="s">
        <v>400</v>
      </c>
      <c r="B3" s="2">
        <v>10.069216925184</v>
      </c>
      <c r="D3" s="3">
        <f>B3</f>
        <v>10.069216925184</v>
      </c>
    </row>
    <row r="4" spans="1:5" x14ac:dyDescent="0.25">
      <c r="A4" s="1" t="s">
        <v>401</v>
      </c>
      <c r="B4" s="2">
        <v>62.800116086016025</v>
      </c>
      <c r="D4" s="3">
        <f>B4</f>
        <v>62.800116086016025</v>
      </c>
    </row>
    <row r="5" spans="1:5" x14ac:dyDescent="0.25">
      <c r="A5" s="1" t="s">
        <v>402</v>
      </c>
      <c r="B5" s="2">
        <v>372.62727108000001</v>
      </c>
      <c r="C5" s="3">
        <f t="shared" ref="C5:C10" si="0">B5</f>
        <v>372.62727108000001</v>
      </c>
    </row>
    <row r="6" spans="1:5" x14ac:dyDescent="0.25">
      <c r="A6" s="1" t="s">
        <v>403</v>
      </c>
      <c r="B6" s="2">
        <v>367.26143837644804</v>
      </c>
      <c r="C6" s="3">
        <f t="shared" si="0"/>
        <v>367.26143837644804</v>
      </c>
      <c r="E6">
        <f>12*(32.63-4.91)</f>
        <v>332.64000000000004</v>
      </c>
    </row>
    <row r="7" spans="1:5" x14ac:dyDescent="0.25">
      <c r="A7" s="1" t="s">
        <v>404</v>
      </c>
      <c r="B7" s="2">
        <v>624.02646996864007</v>
      </c>
      <c r="D7" s="3">
        <f>B7</f>
        <v>624.02646996864007</v>
      </c>
    </row>
    <row r="8" spans="1:5" x14ac:dyDescent="0.25">
      <c r="A8" s="1" t="s">
        <v>405</v>
      </c>
      <c r="B8" s="2">
        <v>164.72070575999999</v>
      </c>
      <c r="C8" s="3">
        <f t="shared" si="0"/>
        <v>164.72070575999999</v>
      </c>
    </row>
    <row r="9" spans="1:5" x14ac:dyDescent="0.25">
      <c r="A9" s="1" t="s">
        <v>406</v>
      </c>
      <c r="B9" s="2">
        <v>61.276484577599994</v>
      </c>
      <c r="C9" s="3">
        <f t="shared" si="0"/>
        <v>61.276484577599994</v>
      </c>
    </row>
    <row r="10" spans="1:5" x14ac:dyDescent="0.25">
      <c r="A10" s="1" t="s">
        <v>407</v>
      </c>
      <c r="B10" s="2">
        <v>79.387959183673473</v>
      </c>
      <c r="C10" s="3">
        <f t="shared" si="0"/>
        <v>79.387959183673473</v>
      </c>
    </row>
    <row r="11" spans="1:5" x14ac:dyDescent="0.25">
      <c r="A11" s="1" t="s">
        <v>408</v>
      </c>
      <c r="B11" s="2">
        <v>117.86062574160002</v>
      </c>
      <c r="C11" s="3"/>
      <c r="D11" s="3">
        <f>B11</f>
        <v>117.86062574160002</v>
      </c>
    </row>
    <row r="12" spans="1:5" x14ac:dyDescent="0.25">
      <c r="A12" s="1" t="s">
        <v>409</v>
      </c>
      <c r="B12" s="2">
        <v>7.6406976000000002</v>
      </c>
      <c r="C12" s="3">
        <v>8</v>
      </c>
      <c r="D12" s="3"/>
    </row>
    <row r="13" spans="1:5" x14ac:dyDescent="0.25">
      <c r="B13" s="3">
        <f>SUM(B2:B12)</f>
        <v>2050.7717457018493</v>
      </c>
      <c r="C13" s="3">
        <f t="shared" ref="C13:D13" si="1">SUM(C2:C12)</f>
        <v>1053.2738589777214</v>
      </c>
      <c r="D13" s="3">
        <f t="shared" si="1"/>
        <v>997.85718912412813</v>
      </c>
    </row>
    <row r="15" spans="1:5" x14ac:dyDescent="0.25">
      <c r="A15" s="42" t="s">
        <v>399</v>
      </c>
      <c r="B15" s="42">
        <v>183.100760402688</v>
      </c>
      <c r="C15" s="42"/>
      <c r="D15" s="42">
        <v>183.100760402688</v>
      </c>
      <c r="E15" s="1" t="s">
        <v>410</v>
      </c>
    </row>
    <row r="16" spans="1:5" x14ac:dyDescent="0.25">
      <c r="A16" s="42" t="s">
        <v>400</v>
      </c>
      <c r="B16" s="42">
        <v>10.069216925184</v>
      </c>
      <c r="C16" s="42"/>
      <c r="D16" s="42">
        <v>10.069216925184</v>
      </c>
      <c r="E16" s="1" t="s">
        <v>411</v>
      </c>
    </row>
    <row r="17" spans="1:27" x14ac:dyDescent="0.25">
      <c r="A17" s="42" t="s">
        <v>401</v>
      </c>
      <c r="B17" s="42">
        <v>62.800116086016025</v>
      </c>
      <c r="C17" s="42"/>
      <c r="D17" s="42">
        <v>62.800116086016025</v>
      </c>
      <c r="E17" s="1" t="s">
        <v>410</v>
      </c>
    </row>
    <row r="18" spans="1:27" x14ac:dyDescent="0.25">
      <c r="A18" s="42" t="s">
        <v>404</v>
      </c>
      <c r="B18" s="42">
        <v>624.02646996864007</v>
      </c>
      <c r="C18" s="42"/>
      <c r="D18" s="42">
        <v>624.02646996864007</v>
      </c>
      <c r="E18" s="1" t="s">
        <v>410</v>
      </c>
    </row>
    <row r="19" spans="1:27" x14ac:dyDescent="0.25">
      <c r="A19" s="42" t="s">
        <v>405</v>
      </c>
      <c r="B19" s="42">
        <v>164.72070575999999</v>
      </c>
      <c r="D19" s="42">
        <v>164.72070575999999</v>
      </c>
      <c r="E19" s="1" t="s">
        <v>412</v>
      </c>
    </row>
    <row r="20" spans="1:27" x14ac:dyDescent="0.25">
      <c r="A20" s="43" t="s">
        <v>402</v>
      </c>
      <c r="B20" s="43">
        <v>372.62727108000001</v>
      </c>
      <c r="C20" s="43">
        <v>372.62727108000001</v>
      </c>
      <c r="D20" s="43"/>
      <c r="E20" s="72" t="s">
        <v>413</v>
      </c>
    </row>
    <row r="21" spans="1:27" x14ac:dyDescent="0.25">
      <c r="A21" s="43" t="s">
        <v>403</v>
      </c>
      <c r="B21" s="43">
        <v>367.26143837644804</v>
      </c>
      <c r="C21" s="43">
        <v>367.26143837644804</v>
      </c>
      <c r="D21" s="43"/>
      <c r="E21" s="1" t="s">
        <v>410</v>
      </c>
    </row>
    <row r="22" spans="1:27" x14ac:dyDescent="0.25">
      <c r="A22" s="44" t="s">
        <v>406</v>
      </c>
      <c r="B22" s="44">
        <v>61.276484577599994</v>
      </c>
      <c r="C22" s="44">
        <v>61.276484577599994</v>
      </c>
      <c r="D22" s="44"/>
      <c r="E22" s="1" t="s">
        <v>414</v>
      </c>
    </row>
    <row r="23" spans="1:27" x14ac:dyDescent="0.25">
      <c r="A23" s="44" t="s">
        <v>407</v>
      </c>
      <c r="B23" s="57">
        <v>109.512</v>
      </c>
      <c r="C23" s="57">
        <v>109.512</v>
      </c>
      <c r="D23" s="44"/>
      <c r="E23" s="1" t="s">
        <v>415</v>
      </c>
    </row>
    <row r="24" spans="1:27" x14ac:dyDescent="0.25">
      <c r="A24" s="45" t="s">
        <v>408</v>
      </c>
      <c r="B24" s="45">
        <v>117.86062574160002</v>
      </c>
      <c r="C24" s="45"/>
      <c r="D24" s="45">
        <v>117.86062574160002</v>
      </c>
      <c r="E24" s="1" t="s">
        <v>416</v>
      </c>
    </row>
    <row r="25" spans="1:27" x14ac:dyDescent="0.25">
      <c r="A25" s="45" t="s">
        <v>409</v>
      </c>
      <c r="B25" s="45">
        <v>7.6406976000000002</v>
      </c>
      <c r="C25" s="45">
        <v>8</v>
      </c>
      <c r="D25" s="45"/>
      <c r="E25" s="1" t="s">
        <v>412</v>
      </c>
    </row>
    <row r="26" spans="1:27" x14ac:dyDescent="0.25">
      <c r="C26">
        <f>SUM(C15:C25)</f>
        <v>918.67719403404794</v>
      </c>
      <c r="D26">
        <f>SUM(D15:D25)</f>
        <v>1162.577894884128</v>
      </c>
    </row>
    <row r="27" spans="1:27" x14ac:dyDescent="0.25">
      <c r="A27" t="s">
        <v>449</v>
      </c>
      <c r="B27">
        <v>2015</v>
      </c>
      <c r="C27">
        <v>2016</v>
      </c>
      <c r="D27">
        <v>2017</v>
      </c>
      <c r="E27">
        <v>2018</v>
      </c>
      <c r="F27">
        <v>2019</v>
      </c>
      <c r="G27">
        <v>2020</v>
      </c>
      <c r="H27">
        <v>2021</v>
      </c>
      <c r="I27">
        <v>2022</v>
      </c>
      <c r="J27">
        <v>2023</v>
      </c>
      <c r="S27">
        <v>100</v>
      </c>
      <c r="T27">
        <v>100.32</v>
      </c>
      <c r="U27">
        <v>101.7</v>
      </c>
      <c r="V27">
        <v>103.44</v>
      </c>
      <c r="W27">
        <v>106.16</v>
      </c>
      <c r="X27">
        <v>107.51</v>
      </c>
      <c r="Y27">
        <v>110.39</v>
      </c>
      <c r="Z27">
        <v>121.43</v>
      </c>
      <c r="AA27">
        <f>126.4*0.989</f>
        <v>125.00960000000001</v>
      </c>
    </row>
    <row r="28" spans="1:27" x14ac:dyDescent="0.25">
      <c r="A28" t="s">
        <v>450</v>
      </c>
      <c r="B28">
        <v>0</v>
      </c>
      <c r="C28">
        <v>0.02</v>
      </c>
      <c r="D28">
        <v>2.0310000000000002E-2</v>
      </c>
      <c r="E28">
        <v>0</v>
      </c>
      <c r="F28">
        <v>2.4E-2</v>
      </c>
      <c r="G28">
        <v>3.0259999999999999E-2</v>
      </c>
      <c r="H28">
        <v>1.7999999999999999E-2</v>
      </c>
      <c r="I28">
        <v>3.2870000000000003E-2</v>
      </c>
      <c r="J28">
        <v>6.1559999999999997E-2</v>
      </c>
    </row>
    <row r="29" spans="1:27" x14ac:dyDescent="0.25">
      <c r="B29">
        <v>1</v>
      </c>
      <c r="C29">
        <v>1.02</v>
      </c>
      <c r="D29">
        <v>1.0203100000000001</v>
      </c>
      <c r="E29">
        <v>1</v>
      </c>
      <c r="F29">
        <v>1.024</v>
      </c>
      <c r="G29">
        <v>1.03026</v>
      </c>
      <c r="H29">
        <v>1.018</v>
      </c>
      <c r="I29">
        <v>1.03287</v>
      </c>
      <c r="J29">
        <v>1.0615600000000001</v>
      </c>
      <c r="R29">
        <v>100</v>
      </c>
    </row>
    <row r="31" spans="1:27" x14ac:dyDescent="0.25">
      <c r="A31" t="s">
        <v>551</v>
      </c>
      <c r="B31">
        <v>2015</v>
      </c>
      <c r="C31">
        <v>2016</v>
      </c>
      <c r="D31">
        <v>2017</v>
      </c>
      <c r="E31">
        <v>2018</v>
      </c>
      <c r="F31">
        <v>2019</v>
      </c>
      <c r="G31">
        <v>2020</v>
      </c>
      <c r="H31">
        <v>2021</v>
      </c>
      <c r="I31">
        <v>2022</v>
      </c>
      <c r="J31">
        <v>2023</v>
      </c>
      <c r="R31">
        <v>100.32</v>
      </c>
    </row>
    <row r="32" spans="1:27" x14ac:dyDescent="0.25">
      <c r="A32" t="s">
        <v>553</v>
      </c>
      <c r="C32">
        <f t="shared" ref="C32:J32" si="2">(C34-B34)/B34</f>
        <v>3.1999999999999316E-3</v>
      </c>
      <c r="D32">
        <f t="shared" si="2"/>
        <v>1.3755980861244117E-2</v>
      </c>
      <c r="E32">
        <f t="shared" si="2"/>
        <v>1.7109144542772809E-2</v>
      </c>
      <c r="F32">
        <f t="shared" si="2"/>
        <v>2.6295436968290786E-2</v>
      </c>
      <c r="G32">
        <f t="shared" si="2"/>
        <v>1.271665410700837E-2</v>
      </c>
      <c r="H32">
        <f t="shared" si="2"/>
        <v>2.678820574830244E-2</v>
      </c>
      <c r="I32">
        <f t="shared" si="2"/>
        <v>0.10000905879155726</v>
      </c>
      <c r="J32">
        <f t="shared" si="2"/>
        <v>2.9478712015152755E-2</v>
      </c>
      <c r="N32">
        <f>3700*H33*I33*J33</f>
        <v>4302.2557901590544</v>
      </c>
    </row>
    <row r="33" spans="1:18" x14ac:dyDescent="0.25">
      <c r="A33" t="s">
        <v>554</v>
      </c>
      <c r="B33">
        <f>S27/100</f>
        <v>1</v>
      </c>
      <c r="C33">
        <f>1+C32</f>
        <v>1.0031999999999999</v>
      </c>
      <c r="D33">
        <f t="shared" ref="D33:J33" si="3">1+D32</f>
        <v>1.0137559808612442</v>
      </c>
      <c r="E33">
        <f t="shared" si="3"/>
        <v>1.0171091445427729</v>
      </c>
      <c r="F33">
        <f t="shared" si="3"/>
        <v>1.0262954369682908</v>
      </c>
      <c r="G33">
        <f t="shared" si="3"/>
        <v>1.0127166541070083</v>
      </c>
      <c r="H33">
        <f t="shared" si="3"/>
        <v>1.0267882057483024</v>
      </c>
      <c r="I33">
        <f t="shared" si="3"/>
        <v>1.1000090587915572</v>
      </c>
      <c r="J33">
        <f t="shared" si="3"/>
        <v>1.0294787120151527</v>
      </c>
      <c r="R33">
        <v>101.7</v>
      </c>
    </row>
    <row r="34" spans="1:18" x14ac:dyDescent="0.25">
      <c r="A34" t="s">
        <v>552</v>
      </c>
      <c r="B34">
        <f>S27</f>
        <v>100</v>
      </c>
      <c r="C34">
        <f t="shared" ref="C34:J34" si="4">T27</f>
        <v>100.32</v>
      </c>
      <c r="D34">
        <f t="shared" si="4"/>
        <v>101.7</v>
      </c>
      <c r="E34">
        <f t="shared" si="4"/>
        <v>103.44</v>
      </c>
      <c r="F34">
        <f t="shared" si="4"/>
        <v>106.16</v>
      </c>
      <c r="G34">
        <f t="shared" si="4"/>
        <v>107.51</v>
      </c>
      <c r="H34">
        <f t="shared" si="4"/>
        <v>110.39</v>
      </c>
      <c r="I34">
        <f t="shared" si="4"/>
        <v>121.43</v>
      </c>
      <c r="J34">
        <f t="shared" si="4"/>
        <v>125.00960000000001</v>
      </c>
    </row>
    <row r="36" spans="1:18" x14ac:dyDescent="0.25">
      <c r="A36" t="s">
        <v>531</v>
      </c>
      <c r="B36">
        <v>4000</v>
      </c>
      <c r="C36">
        <f>B36*C33</f>
        <v>4012.7999999999993</v>
      </c>
      <c r="D36">
        <f t="shared" ref="D36:J36" si="5">C36*D33</f>
        <v>4068</v>
      </c>
      <c r="E36">
        <f t="shared" si="5"/>
        <v>4137.6000000000004</v>
      </c>
      <c r="F36">
        <f t="shared" si="5"/>
        <v>4246.4000000000005</v>
      </c>
      <c r="G36">
        <f t="shared" si="5"/>
        <v>4300.4000000000005</v>
      </c>
      <c r="H36">
        <f t="shared" si="5"/>
        <v>4415.6000000000004</v>
      </c>
      <c r="I36">
        <f t="shared" si="5"/>
        <v>4857.2000000000007</v>
      </c>
      <c r="J36">
        <f t="shared" si="5"/>
        <v>5000.3840000000009</v>
      </c>
      <c r="R36">
        <v>103.44</v>
      </c>
    </row>
    <row r="37" spans="1:18" x14ac:dyDescent="0.25">
      <c r="A37" t="s">
        <v>532</v>
      </c>
      <c r="G37">
        <v>3700</v>
      </c>
      <c r="H37">
        <f t="shared" ref="H37:J37" si="6">G37*H33</f>
        <v>3799.1163612687192</v>
      </c>
      <c r="I37">
        <f t="shared" si="6"/>
        <v>4179.0624127988094</v>
      </c>
      <c r="J37">
        <f t="shared" si="6"/>
        <v>4302.2557901590544</v>
      </c>
    </row>
    <row r="38" spans="1:18" x14ac:dyDescent="0.25">
      <c r="R38">
        <v>106.16</v>
      </c>
    </row>
    <row r="39" spans="1:18" x14ac:dyDescent="0.25">
      <c r="A39" t="s">
        <v>451</v>
      </c>
    </row>
    <row r="40" spans="1:18" x14ac:dyDescent="0.25">
      <c r="A40" t="s">
        <v>442</v>
      </c>
      <c r="B40" s="70">
        <v>400862</v>
      </c>
      <c r="C40" s="3">
        <f>B40/260</f>
        <v>1541.7769230769231</v>
      </c>
      <c r="D40" s="3">
        <f>C40*F$33*G$33*H$33*I$33*J$33</f>
        <v>1863.272587423404</v>
      </c>
      <c r="R40">
        <v>107.51</v>
      </c>
    </row>
    <row r="41" spans="1:18" x14ac:dyDescent="0.25">
      <c r="A41" t="s">
        <v>443</v>
      </c>
      <c r="B41" s="70">
        <v>40302</v>
      </c>
      <c r="C41" s="3">
        <f t="shared" ref="C41:C46" si="7">B41/260</f>
        <v>155.00769230769231</v>
      </c>
      <c r="D41" s="3">
        <f t="shared" ref="D41:D46" si="8">C41*F$33*G$33*H$33*I$33*J$33</f>
        <v>187.33033267892199</v>
      </c>
    </row>
    <row r="42" spans="1:18" x14ac:dyDescent="0.25">
      <c r="A42" t="s">
        <v>444</v>
      </c>
      <c r="B42" s="70">
        <v>32500</v>
      </c>
      <c r="C42" s="3">
        <f t="shared" si="7"/>
        <v>125</v>
      </c>
      <c r="D42" s="3">
        <f t="shared" si="8"/>
        <v>151.06535189481826</v>
      </c>
      <c r="R42">
        <v>110.39</v>
      </c>
    </row>
    <row r="43" spans="1:18" x14ac:dyDescent="0.25">
      <c r="A43" t="s">
        <v>445</v>
      </c>
      <c r="B43">
        <v>40279</v>
      </c>
      <c r="C43" s="3">
        <f t="shared" si="7"/>
        <v>154.91923076923078</v>
      </c>
      <c r="D43" s="3">
        <f t="shared" si="8"/>
        <v>187.22342489142721</v>
      </c>
    </row>
    <row r="44" spans="1:18" x14ac:dyDescent="0.25">
      <c r="A44" t="s">
        <v>446</v>
      </c>
      <c r="B44" s="70">
        <v>11700</v>
      </c>
      <c r="C44" s="3">
        <f t="shared" si="7"/>
        <v>45</v>
      </c>
      <c r="D44" s="3">
        <f t="shared" si="8"/>
        <v>54.383526682134566</v>
      </c>
      <c r="R44">
        <v>121.43</v>
      </c>
    </row>
    <row r="45" spans="1:18" x14ac:dyDescent="0.25">
      <c r="A45" t="s">
        <v>447</v>
      </c>
      <c r="B45" s="70">
        <v>8450</v>
      </c>
      <c r="C45" s="3">
        <f t="shared" si="7"/>
        <v>32.5</v>
      </c>
      <c r="D45" s="3">
        <f t="shared" si="8"/>
        <v>39.276991492652741</v>
      </c>
    </row>
    <row r="46" spans="1:18" x14ac:dyDescent="0.25">
      <c r="A46" t="s">
        <v>448</v>
      </c>
      <c r="B46">
        <v>487</v>
      </c>
      <c r="C46" s="3">
        <f t="shared" si="7"/>
        <v>1.8730769230769231</v>
      </c>
      <c r="D46" s="3">
        <f t="shared" si="8"/>
        <v>2.2636561960854302</v>
      </c>
    </row>
    <row r="48" spans="1:18" x14ac:dyDescent="0.25">
      <c r="A48" t="s">
        <v>457</v>
      </c>
    </row>
    <row r="49" spans="1:5" x14ac:dyDescent="0.25">
      <c r="A49" t="s">
        <v>452</v>
      </c>
      <c r="B49" s="71">
        <v>24.39</v>
      </c>
      <c r="C49" s="71">
        <v>10.57</v>
      </c>
      <c r="D49" s="71">
        <f>B49-C49</f>
        <v>13.82</v>
      </c>
      <c r="E49" s="71">
        <f>12*D49*D$33*E$33*F$33*G$33*H$33*I$33*J$33</f>
        <v>206.65462583732062</v>
      </c>
    </row>
    <row r="50" spans="1:5" x14ac:dyDescent="0.25">
      <c r="A50" t="s">
        <v>453</v>
      </c>
      <c r="B50" s="71">
        <v>14.86</v>
      </c>
      <c r="C50" s="71">
        <v>15.62</v>
      </c>
      <c r="D50" s="71">
        <f t="shared" ref="D50:D53" si="9">B50-C50</f>
        <v>-0.75999999999999979</v>
      </c>
      <c r="E50" s="71">
        <f>12*D50*D$33*E$33*F$33*G$33*H$33*I$33*J$33</f>
        <v>-11.36450909090909</v>
      </c>
    </row>
    <row r="51" spans="1:5" x14ac:dyDescent="0.25">
      <c r="A51" t="s">
        <v>454</v>
      </c>
      <c r="B51" s="71">
        <v>32.630000000000003</v>
      </c>
      <c r="C51" s="71">
        <v>4.91</v>
      </c>
      <c r="D51" s="71">
        <f t="shared" si="9"/>
        <v>27.720000000000002</v>
      </c>
      <c r="E51" s="71">
        <f>12*D51*D$33*E$33*F$33*G$33*H$33*I$33*J$33</f>
        <v>414.5055157894738</v>
      </c>
    </row>
    <row r="52" spans="1:5" x14ac:dyDescent="0.25">
      <c r="A52" t="s">
        <v>455</v>
      </c>
      <c r="B52" s="71">
        <v>83.33</v>
      </c>
      <c r="C52" s="71">
        <v>36.229999999999997</v>
      </c>
      <c r="D52" s="71">
        <f t="shared" si="9"/>
        <v>47.1</v>
      </c>
      <c r="E52" s="71">
        <f>12*D52*D$33*E$33*F$33*G$33*H$33*I$33*J$33</f>
        <v>704.30049760765553</v>
      </c>
    </row>
    <row r="53" spans="1:5" x14ac:dyDescent="0.25">
      <c r="A53" t="s">
        <v>456</v>
      </c>
      <c r="B53" s="71">
        <v>20.440000000000001</v>
      </c>
      <c r="C53" s="71">
        <v>15.7</v>
      </c>
      <c r="D53" s="71">
        <f t="shared" si="9"/>
        <v>4.740000000000002</v>
      </c>
      <c r="E53" s="71">
        <f>12*D53*D$33*E$33*F$33*G$33*H$33*I$33*J$33</f>
        <v>70.878648803827801</v>
      </c>
    </row>
    <row r="56" spans="1:5" x14ac:dyDescent="0.25">
      <c r="D56" s="3">
        <f>B74</f>
        <v>206.65462583732062</v>
      </c>
      <c r="E56">
        <f>12*(24.39-10.57)</f>
        <v>165.84</v>
      </c>
    </row>
    <row r="57" spans="1:5" x14ac:dyDescent="0.25">
      <c r="D57" s="3">
        <f>B75</f>
        <v>-11.36450909090909</v>
      </c>
    </row>
    <row r="58" spans="1:5" x14ac:dyDescent="0.25">
      <c r="D58" s="3">
        <f>B76</f>
        <v>70.878648803827801</v>
      </c>
    </row>
    <row r="59" spans="1:5" x14ac:dyDescent="0.25">
      <c r="C59" s="3">
        <f>B81</f>
        <v>421.9074</v>
      </c>
    </row>
    <row r="60" spans="1:5" x14ac:dyDescent="0.25">
      <c r="C60" s="3">
        <f>B82</f>
        <v>414.5055157894738</v>
      </c>
      <c r="E60">
        <f>12*(32.63-4.91)</f>
        <v>332.64000000000004</v>
      </c>
    </row>
    <row r="61" spans="1:5" x14ac:dyDescent="0.25">
      <c r="D61" s="3">
        <f>B77</f>
        <v>704.30049760765553</v>
      </c>
    </row>
    <row r="62" spans="1:5" x14ac:dyDescent="0.25">
      <c r="C62" s="3">
        <f>B78</f>
        <v>187.22342489142721</v>
      </c>
    </row>
    <row r="63" spans="1:5" x14ac:dyDescent="0.25">
      <c r="C63" s="3">
        <f>B86</f>
        <v>151.06535189481826</v>
      </c>
    </row>
    <row r="64" spans="1:5" x14ac:dyDescent="0.25">
      <c r="C64" s="3">
        <f>B87</f>
        <v>79.387959183673473</v>
      </c>
    </row>
    <row r="65" spans="1:4" x14ac:dyDescent="0.25">
      <c r="C65" s="3"/>
      <c r="D65" s="3">
        <f>B90</f>
        <v>34.281235725418838</v>
      </c>
    </row>
    <row r="66" spans="1:4" x14ac:dyDescent="0.25">
      <c r="C66" s="3">
        <v>8</v>
      </c>
      <c r="D66" s="3"/>
    </row>
    <row r="70" spans="1:4" x14ac:dyDescent="0.25">
      <c r="B70" s="3"/>
      <c r="C70" s="3"/>
      <c r="D70" s="3"/>
    </row>
    <row r="72" spans="1:4" s="66" customFormat="1" x14ac:dyDescent="0.25">
      <c r="A72" s="66" t="s">
        <v>461</v>
      </c>
    </row>
    <row r="73" spans="1:4" s="66" customFormat="1" x14ac:dyDescent="0.25">
      <c r="A73" s="77" t="s">
        <v>459</v>
      </c>
      <c r="B73" s="78"/>
    </row>
    <row r="74" spans="1:4" x14ac:dyDescent="0.25">
      <c r="A74" s="74" t="s">
        <v>399</v>
      </c>
      <c r="B74" s="75">
        <f>E49</f>
        <v>206.65462583732062</v>
      </c>
    </row>
    <row r="75" spans="1:4" x14ac:dyDescent="0.25">
      <c r="A75" s="74" t="s">
        <v>400</v>
      </c>
      <c r="B75" s="75">
        <f>E50</f>
        <v>-11.36450909090909</v>
      </c>
    </row>
    <row r="76" spans="1:4" x14ac:dyDescent="0.25">
      <c r="A76" s="74" t="s">
        <v>401</v>
      </c>
      <c r="B76" s="75">
        <f>E53</f>
        <v>70.878648803827801</v>
      </c>
    </row>
    <row r="77" spans="1:4" x14ac:dyDescent="0.25">
      <c r="A77" s="74" t="s">
        <v>404</v>
      </c>
      <c r="B77" s="75">
        <f>E52</f>
        <v>704.30049760765553</v>
      </c>
    </row>
    <row r="78" spans="1:4" x14ac:dyDescent="0.25">
      <c r="A78" s="74" t="s">
        <v>405</v>
      </c>
      <c r="B78" s="75">
        <f>D43</f>
        <v>187.22342489142721</v>
      </c>
    </row>
    <row r="79" spans="1:4" s="66" customFormat="1" x14ac:dyDescent="0.25">
      <c r="A79" s="80" t="s">
        <v>374</v>
      </c>
      <c r="B79" s="81">
        <f>SUM(B74:B78)</f>
        <v>1157.692688049322</v>
      </c>
    </row>
    <row r="80" spans="1:4" s="66" customFormat="1" x14ac:dyDescent="0.25">
      <c r="A80" s="79" t="s">
        <v>460</v>
      </c>
      <c r="B80" s="78"/>
    </row>
    <row r="81" spans="1:2" x14ac:dyDescent="0.25">
      <c r="A81" s="74" t="s">
        <v>402</v>
      </c>
      <c r="B81" s="75">
        <f>0.09*3750*B33*C33*D33*E33*F33*G33*H33*I33*J33</f>
        <v>421.9074</v>
      </c>
    </row>
    <row r="82" spans="1:2" x14ac:dyDescent="0.25">
      <c r="A82" s="74" t="s">
        <v>403</v>
      </c>
      <c r="B82" s="75">
        <f>E51</f>
        <v>414.5055157894738</v>
      </c>
    </row>
    <row r="83" spans="1:2" x14ac:dyDescent="0.25">
      <c r="A83" s="74" t="s">
        <v>458</v>
      </c>
      <c r="B83" s="76">
        <f>-D41</f>
        <v>-187.33033267892199</v>
      </c>
    </row>
    <row r="84" spans="1:2" s="66" customFormat="1" x14ac:dyDescent="0.25">
      <c r="A84" s="80" t="s">
        <v>374</v>
      </c>
      <c r="B84" s="81">
        <f>SUM(B81:B83)</f>
        <v>649.08258311055181</v>
      </c>
    </row>
    <row r="85" spans="1:2" s="66" customFormat="1" x14ac:dyDescent="0.25">
      <c r="A85" s="79" t="s">
        <v>463</v>
      </c>
      <c r="B85" s="78"/>
    </row>
    <row r="86" spans="1:2" x14ac:dyDescent="0.25">
      <c r="A86" s="74" t="s">
        <v>406</v>
      </c>
      <c r="B86" s="75">
        <f>D42</f>
        <v>151.06535189481826</v>
      </c>
    </row>
    <row r="87" spans="1:2" x14ac:dyDescent="0.25">
      <c r="A87" s="74" t="s">
        <v>407</v>
      </c>
      <c r="B87" s="75">
        <v>79.387959183673473</v>
      </c>
    </row>
    <row r="88" spans="1:2" s="66" customFormat="1" x14ac:dyDescent="0.25">
      <c r="A88" s="80" t="s">
        <v>374</v>
      </c>
      <c r="B88" s="81">
        <f>SUM(B86:B87)</f>
        <v>230.45331107849174</v>
      </c>
    </row>
    <row r="89" spans="1:2" s="66" customFormat="1" x14ac:dyDescent="0.25">
      <c r="A89" s="79" t="s">
        <v>24</v>
      </c>
      <c r="B89" s="78"/>
    </row>
    <row r="90" spans="1:2" x14ac:dyDescent="0.25">
      <c r="A90" s="74" t="s">
        <v>476</v>
      </c>
      <c r="B90" s="75">
        <f>D109*C33*D33*E33*F33*G33*H33*I33*J33*0.035</f>
        <v>34.281235725418838</v>
      </c>
    </row>
    <row r="91" spans="1:2" x14ac:dyDescent="0.25">
      <c r="A91" s="74" t="s">
        <v>477</v>
      </c>
      <c r="B91" s="75">
        <f>E109*C33*D33*E33*F33*G33*H33*I33*J33*0.035</f>
        <v>68.562471450837677</v>
      </c>
    </row>
    <row r="92" spans="1:2" s="66" customFormat="1" x14ac:dyDescent="0.25">
      <c r="A92" s="80" t="s">
        <v>374</v>
      </c>
      <c r="B92" s="81">
        <f>B91+B90</f>
        <v>102.84370717625652</v>
      </c>
    </row>
    <row r="93" spans="1:2" s="66" customFormat="1" x14ac:dyDescent="0.25">
      <c r="A93" s="82" t="s">
        <v>0</v>
      </c>
      <c r="B93" s="83">
        <f>B92+B88+B84+B79</f>
        <v>2140.072289414622</v>
      </c>
    </row>
    <row r="98" spans="1:6" x14ac:dyDescent="0.25">
      <c r="A98" t="s">
        <v>464</v>
      </c>
      <c r="B98">
        <v>10.199999999999999</v>
      </c>
    </row>
    <row r="99" spans="1:6" x14ac:dyDescent="0.25">
      <c r="A99" t="s">
        <v>465</v>
      </c>
      <c r="B99">
        <v>20.399999999999999</v>
      </c>
    </row>
    <row r="101" spans="1:6" x14ac:dyDescent="0.25">
      <c r="A101" t="s">
        <v>466</v>
      </c>
      <c r="B101">
        <v>158290</v>
      </c>
      <c r="D101">
        <v>10.199999999999999</v>
      </c>
      <c r="E101">
        <v>20.399999999999999</v>
      </c>
    </row>
    <row r="102" spans="1:6" x14ac:dyDescent="0.25">
      <c r="A102" t="s">
        <v>467</v>
      </c>
      <c r="B102">
        <v>17500</v>
      </c>
      <c r="C102" s="84">
        <f>B102/B$101</f>
        <v>0.11055657337797713</v>
      </c>
    </row>
    <row r="103" spans="1:6" x14ac:dyDescent="0.25">
      <c r="A103" t="s">
        <v>468</v>
      </c>
      <c r="B103">
        <v>36490</v>
      </c>
      <c r="C103" s="84">
        <f t="shared" ref="C103:C107" si="10">B103/B$101</f>
        <v>0.23052624928927917</v>
      </c>
      <c r="D103">
        <f>D$101*$C103</f>
        <v>2.3513677427506474</v>
      </c>
      <c r="E103">
        <f>E$101*$C103</f>
        <v>4.7027354855012948</v>
      </c>
    </row>
    <row r="104" spans="1:6" x14ac:dyDescent="0.25">
      <c r="A104" t="s">
        <v>469</v>
      </c>
      <c r="B104">
        <v>70730</v>
      </c>
      <c r="C104" s="84">
        <f t="shared" si="10"/>
        <v>0.44683808200138986</v>
      </c>
      <c r="D104">
        <f t="shared" ref="D104:E105" si="11">D$101*$C104</f>
        <v>4.557748436414176</v>
      </c>
      <c r="E104">
        <f t="shared" si="11"/>
        <v>9.1154968728283521</v>
      </c>
    </row>
    <row r="105" spans="1:6" x14ac:dyDescent="0.25">
      <c r="A105" t="s">
        <v>470</v>
      </c>
      <c r="B105">
        <v>27900</v>
      </c>
      <c r="C105" s="84">
        <f t="shared" si="10"/>
        <v>0.17625876555688924</v>
      </c>
      <c r="D105">
        <f t="shared" si="11"/>
        <v>1.79783940868027</v>
      </c>
      <c r="E105">
        <f t="shared" si="11"/>
        <v>3.5956788173605401</v>
      </c>
    </row>
    <row r="106" spans="1:6" x14ac:dyDescent="0.25">
      <c r="A106" t="s">
        <v>471</v>
      </c>
      <c r="B106">
        <v>4790</v>
      </c>
      <c r="C106" s="84">
        <f t="shared" si="10"/>
        <v>3.0260913513172026E-2</v>
      </c>
    </row>
    <row r="107" spans="1:6" x14ac:dyDescent="0.25">
      <c r="A107" t="s">
        <v>472</v>
      </c>
      <c r="B107">
        <v>890</v>
      </c>
      <c r="C107" s="84">
        <f t="shared" si="10"/>
        <v>5.6225914460799799E-3</v>
      </c>
    </row>
    <row r="108" spans="1:6" x14ac:dyDescent="0.25">
      <c r="A108" t="s">
        <v>473</v>
      </c>
      <c r="D108">
        <f>SUM(D103:D105)</f>
        <v>8.7069555878450942</v>
      </c>
      <c r="E108">
        <f>SUM(E103:E105)</f>
        <v>17.413911175690188</v>
      </c>
      <c r="F108">
        <f>E108+D108</f>
        <v>26.120866763535282</v>
      </c>
    </row>
    <row r="109" spans="1:6" x14ac:dyDescent="0.25">
      <c r="A109" t="s">
        <v>474</v>
      </c>
      <c r="B109">
        <v>11112743</v>
      </c>
      <c r="D109">
        <f t="shared" ref="D109:E109" si="12">D108*1000000000/$B109</f>
        <v>783.51092865596684</v>
      </c>
      <c r="E109">
        <f t="shared" si="12"/>
        <v>1567.0218573119337</v>
      </c>
      <c r="F109">
        <f>F108*1000000000/$B109</f>
        <v>2350.5327859679005</v>
      </c>
    </row>
    <row r="110" spans="1:6" x14ac:dyDescent="0.25">
      <c r="A110" t="s">
        <v>475</v>
      </c>
      <c r="B110">
        <f>SUM(B103:B105)/B109</f>
        <v>1.2159014205583626E-2</v>
      </c>
    </row>
    <row r="114" spans="1:10" x14ac:dyDescent="0.25">
      <c r="A114" t="s">
        <v>449</v>
      </c>
      <c r="B114">
        <v>2015</v>
      </c>
      <c r="C114">
        <v>2016</v>
      </c>
      <c r="D114">
        <v>2017</v>
      </c>
      <c r="E114">
        <v>2018</v>
      </c>
      <c r="F114">
        <v>2019</v>
      </c>
      <c r="G114">
        <v>2020</v>
      </c>
      <c r="H114">
        <v>2021</v>
      </c>
      <c r="I114">
        <v>2022</v>
      </c>
      <c r="J114">
        <v>2023</v>
      </c>
    </row>
    <row r="115" spans="1:10" x14ac:dyDescent="0.25">
      <c r="A115" t="s">
        <v>450</v>
      </c>
      <c r="B115">
        <v>0</v>
      </c>
      <c r="C115">
        <v>0.02</v>
      </c>
      <c r="D115">
        <v>2.0310000000000002E-2</v>
      </c>
      <c r="E115">
        <v>0</v>
      </c>
      <c r="F115">
        <v>2.4E-2</v>
      </c>
      <c r="G115">
        <v>3.0259999999999999E-2</v>
      </c>
      <c r="H115">
        <v>1.7999999999999999E-2</v>
      </c>
      <c r="I115">
        <v>3.2870000000000003E-2</v>
      </c>
      <c r="J115">
        <v>6.1559999999999997E-2</v>
      </c>
    </row>
    <row r="116" spans="1:10" x14ac:dyDescent="0.25">
      <c r="B116">
        <v>1</v>
      </c>
      <c r="C116">
        <v>1.02</v>
      </c>
      <c r="D116">
        <v>1.0203100000000001</v>
      </c>
      <c r="E116">
        <v>1</v>
      </c>
      <c r="F116">
        <v>1.024</v>
      </c>
      <c r="G116">
        <v>1.03026</v>
      </c>
      <c r="H116">
        <v>1.018</v>
      </c>
      <c r="I116">
        <v>1.03287</v>
      </c>
      <c r="J116">
        <v>1.0615600000000001</v>
      </c>
    </row>
    <row r="117" spans="1:10" x14ac:dyDescent="0.25">
      <c r="C117">
        <f>B116*C116</f>
        <v>1.02</v>
      </c>
      <c r="D117">
        <f t="shared" ref="D117:J117" si="13">C116*D116</f>
        <v>1.0407162000000001</v>
      </c>
      <c r="E117">
        <f t="shared" si="13"/>
        <v>1.0203100000000001</v>
      </c>
      <c r="F117">
        <f t="shared" si="13"/>
        <v>1.024</v>
      </c>
      <c r="G117">
        <f t="shared" si="13"/>
        <v>1.0549862400000001</v>
      </c>
      <c r="H117">
        <f t="shared" si="13"/>
        <v>1.0488046799999999</v>
      </c>
      <c r="I117">
        <f t="shared" si="13"/>
        <v>1.05146166</v>
      </c>
      <c r="J117">
        <f t="shared" si="13"/>
        <v>1.0964534772000001</v>
      </c>
    </row>
  </sheetData>
  <pageMargins left="0.7" right="0.7" top="0.75" bottom="0.75" header="0.3" footer="0.3"/>
  <pageSetup paperSize="9" orientation="portrait" r:id="rId1"/>
  <ignoredErrors>
    <ignoredError sqref="B76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8caa21-5722-493b-9d14-a5a94965b518" xsi:nil="true"/>
    <lcf76f155ced4ddcb4097134ff3c332f xmlns="01eeb16d-8946-4cc2-a0fc-08230b3039e4">
      <Terms xmlns="http://schemas.microsoft.com/office/infopath/2007/PartnerControls"/>
    </lcf76f155ced4ddcb4097134ff3c332f>
    <SharedWithUsers xmlns="e58caa21-5722-493b-9d14-a5a94965b518">
      <UserInfo>
        <DisplayName>Martin Heekelaar</DisplayName>
        <AccountId>17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36667110A62949AA67DF5C6216EC70" ma:contentTypeVersion="18" ma:contentTypeDescription="Een nieuw document maken." ma:contentTypeScope="" ma:versionID="5fb68f7c6c8785ea622d38a2e060234e">
  <xsd:schema xmlns:xsd="http://www.w3.org/2001/XMLSchema" xmlns:xs="http://www.w3.org/2001/XMLSchema" xmlns:p="http://schemas.microsoft.com/office/2006/metadata/properties" xmlns:ns2="01eeb16d-8946-4cc2-a0fc-08230b3039e4" xmlns:ns3="e58caa21-5722-493b-9d14-a5a94965b518" targetNamespace="http://schemas.microsoft.com/office/2006/metadata/properties" ma:root="true" ma:fieldsID="13eff298b29f4bd64cbbb18d799884bc" ns2:_="" ns3:_="">
    <xsd:import namespace="01eeb16d-8946-4cc2-a0fc-08230b3039e4"/>
    <xsd:import namespace="e58caa21-5722-493b-9d14-a5a94965b5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eeb16d-8946-4cc2-a0fc-08230b30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494988ac-a94d-4e5f-9e77-5d30b66af9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caa21-5722-493b-9d14-a5a94965b51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d187d-ba4f-4c7d-a51c-c1712449ba67}" ma:internalName="TaxCatchAll" ma:showField="CatchAllData" ma:web="e58caa21-5722-493b-9d14-a5a94965b5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AEDA25-88AE-4EE8-A059-36269DE800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D8F95F-BB4F-423D-A869-DBCBC42258EB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3dbc2e9e-119f-48e0-a9f9-7f5650961d42"/>
    <ds:schemaRef ds:uri="http://www.w3.org/XML/1998/namespace"/>
    <ds:schemaRef ds:uri="6635abe2-4642-4fa4-a238-5dea746e1e57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3B278F8-AEDC-4BCD-85D6-68ACA84A148C}"/>
</file>

<file path=docMetadata/LabelInfo.xml><?xml version="1.0" encoding="utf-8"?>
<clbl:labelList xmlns:clbl="http://schemas.microsoft.com/office/2020/mipLabelMetadata">
  <clbl:label id="{1df998a4-0a8d-4cf0-8b57-1bbd8d13bed2}" enabled="0" method="" siteId="{1df998a4-0a8d-4cf0-8b57-1bbd8d13be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Blad1</vt:lpstr>
      <vt:lpstr>Rekenblad</vt:lpstr>
      <vt:lpstr>Blad5</vt:lpstr>
      <vt:lpstr>Aandeel in GF</vt:lpstr>
      <vt:lpstr>Gemeenten</vt:lpstr>
      <vt:lpstr>Blad3</vt:lpstr>
      <vt:lpstr>Blad2</vt:lpstr>
      <vt:lpstr>Blad6</vt:lpstr>
      <vt:lpstr>Diverse prijzen</vt:lpstr>
      <vt:lpstr>operationeel resultaat so-bedr</vt:lpstr>
      <vt:lpstr>Blad4</vt:lpstr>
      <vt:lpstr>Kleurenpalet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Heekelaar</dc:creator>
  <cp:keywords/>
  <dc:description/>
  <cp:lastModifiedBy>Pieter-Bas de Gram</cp:lastModifiedBy>
  <cp:revision/>
  <dcterms:created xsi:type="dcterms:W3CDTF">2023-09-24T18:33:16Z</dcterms:created>
  <dcterms:modified xsi:type="dcterms:W3CDTF">2024-02-16T07:53:54Z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0x010100C136667110A62949AA67DF5C6216EC70</vt:lpwstr>
  </property>
  <property fmtid="{D5CDD505-2E9C-101B-9397-08002B2CF9AE}" pid="3" name="MediaServiceImageTags">
    <vt:lpwstr/>
  </property>
</Properties>
</file>