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2.xml" ContentType="application/vnd.openxmlformats-officedocument.drawingml.chart+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worksheets/sheet3.xml" ContentType="application/vnd.openxmlformats-officedocument.spreadsheetml.workshee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robterwel/Documents/Kalavasta/EBN H2/"/>
    </mc:Choice>
  </mc:AlternateContent>
  <xr:revisionPtr revIDLastSave="0" documentId="13_ncr:1_{DDEC75FF-2B00-1949-95D0-63F191240953}" xr6:coauthVersionLast="45" xr6:coauthVersionMax="45" xr10:uidLastSave="{00000000-0000-0000-0000-000000000000}"/>
  <bookViews>
    <workbookView xWindow="0" yWindow="460" windowWidth="28800" windowHeight="17540" tabRatio="500" xr2:uid="{00000000-000D-0000-FFFF-FFFF00000000}"/>
  </bookViews>
  <sheets>
    <sheet name="Overview" sheetId="2" r:id="rId1"/>
    <sheet name="User_interface" sheetId="1" r:id="rId2"/>
    <sheet name="Calculations" sheetId="3" r:id="rId3"/>
    <sheet name="Sources" sheetId="4" r:id="rId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Q28" i="3" l="1"/>
  <c r="K28" i="3"/>
  <c r="F131" i="3" l="1"/>
  <c r="E131" i="3"/>
  <c r="D131" i="3"/>
  <c r="C128" i="3"/>
  <c r="C127" i="3"/>
  <c r="C126" i="3"/>
  <c r="C125" i="3"/>
  <c r="C124" i="3"/>
  <c r="C123" i="3"/>
  <c r="C122" i="3"/>
  <c r="AB61" i="3"/>
  <c r="AA61" i="3"/>
  <c r="Z61" i="3"/>
  <c r="Y61" i="3"/>
  <c r="X61" i="3"/>
  <c r="W61" i="3"/>
  <c r="V61" i="3"/>
  <c r="U61" i="3"/>
  <c r="T61" i="3"/>
  <c r="S61" i="3"/>
  <c r="R61" i="3"/>
  <c r="Q61" i="3"/>
  <c r="P61" i="3"/>
  <c r="O61" i="3"/>
  <c r="N61" i="3"/>
  <c r="M61" i="3"/>
  <c r="L61" i="3"/>
  <c r="K61" i="3"/>
  <c r="J61" i="3"/>
  <c r="I61" i="3"/>
  <c r="H61" i="3"/>
  <c r="AB58" i="3"/>
  <c r="AA58" i="3"/>
  <c r="Z58" i="3"/>
  <c r="V54" i="3"/>
  <c r="U54" i="3"/>
  <c r="T54" i="3"/>
  <c r="P54" i="3"/>
  <c r="O54" i="3"/>
  <c r="N54" i="3"/>
  <c r="V46" i="3"/>
  <c r="U46" i="3"/>
  <c r="T46" i="3"/>
  <c r="S46" i="3"/>
  <c r="R46" i="3"/>
  <c r="Q46" i="3"/>
  <c r="P46" i="3"/>
  <c r="O46" i="3"/>
  <c r="N46" i="3"/>
  <c r="M46" i="3"/>
  <c r="L46" i="3"/>
  <c r="K46" i="3"/>
  <c r="AB31" i="3"/>
  <c r="AB32" i="3" s="1"/>
  <c r="AA31" i="3"/>
  <c r="AA32" i="3" s="1"/>
  <c r="Z31" i="3"/>
  <c r="Z32" i="3" s="1"/>
  <c r="Y31" i="3"/>
  <c r="Y32" i="3" s="1"/>
  <c r="X31" i="3"/>
  <c r="X32" i="3" s="1"/>
  <c r="W31" i="3"/>
  <c r="W32" i="3" s="1"/>
  <c r="V31" i="3"/>
  <c r="U31" i="3"/>
  <c r="T31" i="3"/>
  <c r="S31" i="3"/>
  <c r="R31" i="3"/>
  <c r="Q31" i="3"/>
  <c r="P31" i="3"/>
  <c r="O31" i="3"/>
  <c r="N31" i="3"/>
  <c r="M31" i="3"/>
  <c r="L31" i="3"/>
  <c r="K31" i="3"/>
  <c r="J31" i="3"/>
  <c r="J32" i="3" s="1"/>
  <c r="I31" i="3"/>
  <c r="I32" i="3" s="1"/>
  <c r="H31" i="3"/>
  <c r="H32" i="3" s="1"/>
  <c r="V27" i="3"/>
  <c r="V41" i="3" s="1"/>
  <c r="V42" i="3" s="1"/>
  <c r="V43" i="3" s="1"/>
  <c r="V52" i="3" s="1"/>
  <c r="U27" i="3"/>
  <c r="U41" i="3" s="1"/>
  <c r="U42" i="3" s="1"/>
  <c r="U43" i="3" s="1"/>
  <c r="U52" i="3" s="1"/>
  <c r="T27" i="3"/>
  <c r="T41" i="3" s="1"/>
  <c r="T42" i="3" s="1"/>
  <c r="T43" i="3" s="1"/>
  <c r="T52" i="3" s="1"/>
  <c r="S27" i="3"/>
  <c r="S41" i="3" s="1"/>
  <c r="S42" i="3" s="1"/>
  <c r="S43" i="3" s="1"/>
  <c r="S52" i="3" s="1"/>
  <c r="R27" i="3"/>
  <c r="R41" i="3" s="1"/>
  <c r="R42" i="3" s="1"/>
  <c r="R43" i="3" s="1"/>
  <c r="R52" i="3" s="1"/>
  <c r="Q27" i="3"/>
  <c r="Q41" i="3" s="1"/>
  <c r="Q42" i="3" s="1"/>
  <c r="Q43" i="3" s="1"/>
  <c r="Q52" i="3" s="1"/>
  <c r="P27" i="3"/>
  <c r="P41" i="3" s="1"/>
  <c r="P42" i="3" s="1"/>
  <c r="P43" i="3" s="1"/>
  <c r="P52" i="3" s="1"/>
  <c r="O27" i="3"/>
  <c r="O41" i="3" s="1"/>
  <c r="O42" i="3" s="1"/>
  <c r="O43" i="3" s="1"/>
  <c r="O52" i="3" s="1"/>
  <c r="N27" i="3"/>
  <c r="N41" i="3" s="1"/>
  <c r="N42" i="3" s="1"/>
  <c r="N43" i="3" s="1"/>
  <c r="N52" i="3" s="1"/>
  <c r="M27" i="3"/>
  <c r="M41" i="3" s="1"/>
  <c r="M42" i="3" s="1"/>
  <c r="M43" i="3" s="1"/>
  <c r="M52" i="3" s="1"/>
  <c r="L27" i="3"/>
  <c r="L41" i="3" s="1"/>
  <c r="L42" i="3" s="1"/>
  <c r="L43" i="3" s="1"/>
  <c r="L52" i="3" s="1"/>
  <c r="K27" i="3"/>
  <c r="K41" i="3" s="1"/>
  <c r="K42" i="3" s="1"/>
  <c r="K43" i="3" s="1"/>
  <c r="K52" i="3" s="1"/>
  <c r="AB26" i="3"/>
  <c r="AA26" i="3"/>
  <c r="Z26" i="3"/>
  <c r="AB25" i="3"/>
  <c r="AB28" i="3" s="1"/>
  <c r="AA25" i="3"/>
  <c r="AA28" i="3" s="1"/>
  <c r="Z25" i="3"/>
  <c r="V25" i="3"/>
  <c r="U25" i="3"/>
  <c r="T25" i="3"/>
  <c r="S25" i="3"/>
  <c r="S57" i="3" s="1"/>
  <c r="R25" i="3"/>
  <c r="R57" i="3" s="1"/>
  <c r="Q25" i="3"/>
  <c r="Q57" i="3" s="1"/>
  <c r="P25" i="3"/>
  <c r="O25" i="3"/>
  <c r="N25" i="3"/>
  <c r="M25" i="3"/>
  <c r="M57" i="3" s="1"/>
  <c r="L25" i="3"/>
  <c r="K25" i="3"/>
  <c r="K57" i="3" s="1"/>
  <c r="J25" i="3"/>
  <c r="J26" i="3" s="1"/>
  <c r="J49" i="3" s="1"/>
  <c r="J50" i="3" s="1"/>
  <c r="J51" i="3" s="1"/>
  <c r="J52" i="3" s="1"/>
  <c r="I25" i="3"/>
  <c r="H25" i="3"/>
  <c r="Y23" i="3"/>
  <c r="X23" i="3"/>
  <c r="W23" i="3"/>
  <c r="V22" i="3"/>
  <c r="V32" i="3" s="1"/>
  <c r="U22" i="3"/>
  <c r="T22" i="3"/>
  <c r="S22" i="3"/>
  <c r="R22" i="3"/>
  <c r="R32" i="3" s="1"/>
  <c r="Q22" i="3"/>
  <c r="P22" i="3"/>
  <c r="O22" i="3"/>
  <c r="N22" i="3"/>
  <c r="N32" i="3" s="1"/>
  <c r="M22" i="3"/>
  <c r="L22" i="3"/>
  <c r="K22" i="3"/>
  <c r="AB21" i="3"/>
  <c r="AA21" i="3"/>
  <c r="Z21" i="3"/>
  <c r="K21" i="3"/>
  <c r="K30" i="3" s="1"/>
  <c r="J21" i="3"/>
  <c r="I21" i="3"/>
  <c r="H21" i="3"/>
  <c r="V18" i="3"/>
  <c r="V21" i="3" s="1"/>
  <c r="V30" i="3" s="1"/>
  <c r="U18" i="3"/>
  <c r="U21" i="3" s="1"/>
  <c r="U30" i="3" s="1"/>
  <c r="T18" i="3"/>
  <c r="T21" i="3" s="1"/>
  <c r="T30" i="3" s="1"/>
  <c r="S18" i="3"/>
  <c r="S21" i="3" s="1"/>
  <c r="S30" i="3" s="1"/>
  <c r="R18" i="3"/>
  <c r="R21" i="3" s="1"/>
  <c r="R30" i="3" s="1"/>
  <c r="Q18" i="3"/>
  <c r="Q21" i="3" s="1"/>
  <c r="Q30" i="3" s="1"/>
  <c r="P18" i="3"/>
  <c r="P21" i="3" s="1"/>
  <c r="P30" i="3" s="1"/>
  <c r="O18" i="3"/>
  <c r="O21" i="3" s="1"/>
  <c r="O30" i="3" s="1"/>
  <c r="N18" i="3"/>
  <c r="N21" i="3" s="1"/>
  <c r="N30" i="3" s="1"/>
  <c r="M18" i="3"/>
  <c r="M21" i="3" s="1"/>
  <c r="M30" i="3" s="1"/>
  <c r="L18" i="3"/>
  <c r="L21" i="3" s="1"/>
  <c r="L30" i="3" s="1"/>
  <c r="K18" i="3"/>
  <c r="Y15" i="3"/>
  <c r="Y21" i="3" s="1"/>
  <c r="X15" i="3"/>
  <c r="X21" i="3" s="1"/>
  <c r="W15" i="3"/>
  <c r="W21" i="3" s="1"/>
  <c r="J14" i="3"/>
  <c r="I14" i="3"/>
  <c r="H14" i="3"/>
  <c r="AB13" i="3"/>
  <c r="AA13" i="3"/>
  <c r="Z13" i="3"/>
  <c r="U13" i="3"/>
  <c r="T13" i="3"/>
  <c r="S13" i="3"/>
  <c r="Q13" i="3"/>
  <c r="P13" i="3"/>
  <c r="O13" i="3"/>
  <c r="M13" i="3"/>
  <c r="L13" i="3"/>
  <c r="K13" i="3"/>
  <c r="J13" i="3"/>
  <c r="AB12" i="3"/>
  <c r="AA12" i="3"/>
  <c r="Z12" i="3"/>
  <c r="N13" i="3" l="1"/>
  <c r="R13" i="3"/>
  <c r="V13" i="3"/>
  <c r="V28" i="3"/>
  <c r="K32" i="3"/>
  <c r="K33" i="3" s="1"/>
  <c r="O32" i="3"/>
  <c r="O33" i="3" s="1"/>
  <c r="S32" i="3"/>
  <c r="S33" i="3" s="1"/>
  <c r="L32" i="3"/>
  <c r="L33" i="3" s="1"/>
  <c r="P32" i="3"/>
  <c r="P33" i="3" s="1"/>
  <c r="T32" i="3"/>
  <c r="T33" i="3" s="1"/>
  <c r="N28" i="3"/>
  <c r="M32" i="3"/>
  <c r="M33" i="3" s="1"/>
  <c r="Q32" i="3"/>
  <c r="Q33" i="3" s="1"/>
  <c r="U32" i="3"/>
  <c r="U33" i="3" s="1"/>
  <c r="AB30" i="3"/>
  <c r="AB33" i="3" s="1"/>
  <c r="Z30" i="3"/>
  <c r="Z33" i="3" s="1"/>
  <c r="Z28" i="3"/>
  <c r="U28" i="3"/>
  <c r="Q37" i="3"/>
  <c r="M37" i="3"/>
  <c r="P37" i="3"/>
  <c r="L37" i="3"/>
  <c r="U37" i="3"/>
  <c r="T37" i="3"/>
  <c r="N33" i="3"/>
  <c r="N37" i="3"/>
  <c r="Z37" i="3"/>
  <c r="K63" i="3"/>
  <c r="O63" i="3"/>
  <c r="S63" i="3"/>
  <c r="K37" i="3"/>
  <c r="AA30" i="3"/>
  <c r="R33" i="3"/>
  <c r="R37" i="3"/>
  <c r="O37" i="3"/>
  <c r="S37" i="3"/>
  <c r="H57" i="3"/>
  <c r="H28" i="3"/>
  <c r="L57" i="3"/>
  <c r="P28" i="3"/>
  <c r="T28" i="3"/>
  <c r="H26" i="3"/>
  <c r="M63" i="3"/>
  <c r="Q63" i="3"/>
  <c r="U63" i="3"/>
  <c r="V33" i="3"/>
  <c r="V37" i="3"/>
  <c r="J12" i="3"/>
  <c r="J30" i="3" s="1"/>
  <c r="I57" i="3"/>
  <c r="I26" i="3"/>
  <c r="I28" i="3" s="1"/>
  <c r="J28" i="3"/>
  <c r="N63" i="3"/>
  <c r="R63" i="3"/>
  <c r="V63" i="3"/>
  <c r="O28" i="3"/>
  <c r="J57" i="3"/>
  <c r="C132" i="3"/>
  <c r="C133" i="3"/>
  <c r="C134" i="3"/>
  <c r="C135" i="3"/>
  <c r="C136" i="3"/>
  <c r="C137" i="3"/>
  <c r="O39" i="3" l="1"/>
  <c r="U39" i="3"/>
  <c r="T39" i="3"/>
  <c r="AB37" i="3"/>
  <c r="Q39" i="3"/>
  <c r="N39" i="3"/>
  <c r="N65" i="3" s="1"/>
  <c r="D124" i="3" s="1"/>
  <c r="Z39" i="3"/>
  <c r="M39" i="3"/>
  <c r="V39" i="3"/>
  <c r="V65" i="3" s="1"/>
  <c r="F126" i="3" s="1"/>
  <c r="S39" i="3"/>
  <c r="J33" i="3"/>
  <c r="J37" i="3"/>
  <c r="J63" i="3"/>
  <c r="O65" i="3"/>
  <c r="E124" i="3" s="1"/>
  <c r="AA37" i="3"/>
  <c r="AA33" i="3"/>
  <c r="U65" i="3"/>
  <c r="I49" i="3"/>
  <c r="I50" i="3" s="1"/>
  <c r="I51" i="3" s="1"/>
  <c r="I52" i="3" s="1"/>
  <c r="I13" i="3"/>
  <c r="I12" i="3"/>
  <c r="I30" i="3" s="1"/>
  <c r="H49" i="3"/>
  <c r="H50" i="3" s="1"/>
  <c r="H51" i="3" s="1"/>
  <c r="H52" i="3" s="1"/>
  <c r="H13" i="3"/>
  <c r="H12" i="3"/>
  <c r="H30" i="3" s="1"/>
  <c r="P63" i="3"/>
  <c r="W58" i="3"/>
  <c r="H63" i="3"/>
  <c r="Z57" i="3"/>
  <c r="Z63" i="3" s="1"/>
  <c r="K39" i="3"/>
  <c r="AB57" i="3"/>
  <c r="AB63" i="3" s="1"/>
  <c r="Y58" i="3"/>
  <c r="Y25" i="3" s="1"/>
  <c r="AA57" i="3"/>
  <c r="AA63" i="3" s="1"/>
  <c r="X58" i="3"/>
  <c r="X25" i="3" s="1"/>
  <c r="Z65" i="3"/>
  <c r="P39" i="3"/>
  <c r="I63" i="3"/>
  <c r="T63" i="3"/>
  <c r="L63" i="3"/>
  <c r="R39" i="3"/>
  <c r="AB39" i="3"/>
  <c r="L39" i="3"/>
  <c r="T65" i="3" l="1"/>
  <c r="AB65" i="3"/>
  <c r="F128" i="3" s="1"/>
  <c r="P65" i="3"/>
  <c r="F124" i="3" s="1"/>
  <c r="D126" i="3"/>
  <c r="D128" i="3"/>
  <c r="X57" i="3"/>
  <c r="X63" i="3" s="1"/>
  <c r="X28" i="3"/>
  <c r="I37" i="3"/>
  <c r="I33" i="3"/>
  <c r="AA39" i="3"/>
  <c r="AA65" i="3" s="1"/>
  <c r="Y57" i="3"/>
  <c r="Y63" i="3" s="1"/>
  <c r="Y28" i="3"/>
  <c r="Y12" i="3"/>
  <c r="Y30" i="3" s="1"/>
  <c r="Y13" i="3"/>
  <c r="W25" i="3"/>
  <c r="X13" i="3"/>
  <c r="E126" i="3"/>
  <c r="H33" i="3"/>
  <c r="H39" i="3" s="1"/>
  <c r="H65" i="3" s="1"/>
  <c r="H37" i="3"/>
  <c r="X12" i="3"/>
  <c r="X30" i="3" s="1"/>
  <c r="J39" i="3"/>
  <c r="J65" i="3" s="1"/>
  <c r="AB68" i="3" l="1"/>
  <c r="F137" i="3" s="1"/>
  <c r="P68" i="3"/>
  <c r="D122" i="3"/>
  <c r="N68" i="3"/>
  <c r="I39" i="3"/>
  <c r="I65" i="3" s="1"/>
  <c r="X33" i="3"/>
  <c r="X37" i="3"/>
  <c r="D133" i="3"/>
  <c r="E122" i="3"/>
  <c r="Y37" i="3"/>
  <c r="Y33" i="3"/>
  <c r="Z68" i="3"/>
  <c r="D137" i="3" s="1"/>
  <c r="T68" i="3"/>
  <c r="D135" i="3" s="1"/>
  <c r="W57" i="3"/>
  <c r="W63" i="3" s="1"/>
  <c r="W28" i="3"/>
  <c r="W13" i="3"/>
  <c r="W12" i="3"/>
  <c r="F122" i="3"/>
  <c r="V68" i="3"/>
  <c r="F135" i="3" s="1"/>
  <c r="F133" i="3"/>
  <c r="E128" i="3"/>
  <c r="O68" i="3" l="1"/>
  <c r="E133" i="3" s="1"/>
  <c r="AA68" i="3"/>
  <c r="E137" i="3" s="1"/>
  <c r="U68" i="3"/>
  <c r="E135" i="3" s="1"/>
  <c r="Y39" i="3"/>
  <c r="Y65" i="3" s="1"/>
  <c r="W30" i="3"/>
  <c r="W14" i="3"/>
  <c r="X39" i="3"/>
  <c r="X65" i="3" s="1"/>
  <c r="W37" i="3" l="1"/>
  <c r="W33" i="3"/>
  <c r="W39" i="3" s="1"/>
  <c r="W65" i="3" s="1"/>
  <c r="X68" i="3"/>
  <c r="E136" i="3" s="1"/>
  <c r="E127" i="3"/>
  <c r="Y68" i="3"/>
  <c r="F136" i="3" s="1"/>
  <c r="F127" i="3"/>
  <c r="W68" i="3" l="1"/>
  <c r="D136" i="3" s="1"/>
  <c r="D127" i="3"/>
  <c r="I30" i="1" l="1"/>
  <c r="H30" i="1"/>
  <c r="S28" i="3" l="1"/>
  <c r="M28" i="3"/>
  <c r="L28" i="3"/>
  <c r="R28" i="3"/>
  <c r="G30" i="1"/>
  <c r="R65" i="3" l="1"/>
  <c r="R68" i="3" s="1"/>
  <c r="M65" i="3"/>
  <c r="M68" i="3" s="1"/>
  <c r="S65" i="3"/>
  <c r="S68" i="3" s="1"/>
  <c r="L65" i="3"/>
  <c r="L68" i="3" s="1"/>
  <c r="K65" i="3"/>
  <c r="Q65" i="3"/>
  <c r="Q68" i="3" s="1"/>
  <c r="E123" i="3" l="1"/>
  <c r="E132" i="3"/>
  <c r="F125" i="3"/>
  <c r="F134" i="3"/>
  <c r="F123" i="3"/>
  <c r="F132" i="3"/>
  <c r="D125" i="3"/>
  <c r="D134" i="3"/>
  <c r="D123" i="3"/>
  <c r="K68" i="3"/>
  <c r="D132" i="3" s="1"/>
  <c r="E125" i="3"/>
  <c r="E134" i="3"/>
  <c r="D129" i="3" l="1"/>
  <c r="T6" i="1" s="1"/>
  <c r="T12" i="1" s="1"/>
  <c r="F129" i="3"/>
  <c r="T8" i="1" s="1"/>
  <c r="T14" i="1" s="1"/>
  <c r="E129" i="3"/>
  <c r="T7" i="1" s="1"/>
  <c r="T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 Terwel</author>
  </authors>
  <commentList>
    <comment ref="T5" authorId="0" shapeId="0" xr:uid="{38119EDC-3340-9A4E-B616-B7C895EC060D}">
      <text>
        <r>
          <rPr>
            <b/>
            <sz val="10"/>
            <color rgb="FF000000"/>
            <rFont val="Tahoma"/>
            <family val="2"/>
          </rPr>
          <t>Rob Terwel:</t>
        </r>
        <r>
          <rPr>
            <sz val="10"/>
            <color rgb="FF000000"/>
            <rFont val="Tahoma"/>
            <family val="2"/>
          </rPr>
          <t xml:space="preserve">
</t>
        </r>
        <r>
          <rPr>
            <sz val="10"/>
            <color rgb="FF000000"/>
            <rFont val="Tahoma"/>
            <family val="2"/>
          </rPr>
          <t>Verschil in productiekosten tussen referentie grijze waterstof (geproduceerd met SMR) en het goedkoopste alternatief dat minder CO2 uitstoot</t>
        </r>
      </text>
    </comment>
    <comment ref="T11" authorId="0" shapeId="0" xr:uid="{7C9165D5-E1D8-C344-BE89-B1E96DEF0E32}">
      <text>
        <r>
          <rPr>
            <b/>
            <sz val="10"/>
            <color rgb="FF000000"/>
            <rFont val="Tahoma"/>
            <family val="2"/>
          </rPr>
          <t>Rob Terwel:</t>
        </r>
        <r>
          <rPr>
            <sz val="10"/>
            <color rgb="FF000000"/>
            <rFont val="Tahoma"/>
            <family val="2"/>
          </rPr>
          <t xml:space="preserve">
</t>
        </r>
        <r>
          <rPr>
            <sz val="10"/>
            <color rgb="FF000000"/>
            <rFont val="Tahoma"/>
            <family val="2"/>
          </rPr>
          <t>Bovenstaande onrendabele top maal de additionele waterstofvraag (tov 2020)</t>
        </r>
      </text>
    </comment>
  </commentList>
</comments>
</file>

<file path=xl/sharedStrings.xml><?xml version="1.0" encoding="utf-8"?>
<sst xmlns="http://schemas.openxmlformats.org/spreadsheetml/2006/main" count="220" uniqueCount="155">
  <si>
    <t>SMR (REF)</t>
  </si>
  <si>
    <t>SMR + CCS</t>
  </si>
  <si>
    <t xml:space="preserve">ATR + CCS </t>
  </si>
  <si>
    <t>Approach</t>
  </si>
  <si>
    <t>Green field</t>
  </si>
  <si>
    <t>Add CCS to REF</t>
  </si>
  <si>
    <t>Technical &amp;</t>
  </si>
  <si>
    <t>Efficiency (LHV)</t>
  </si>
  <si>
    <t>Investment</t>
  </si>
  <si>
    <t>Efficiency (HHV)</t>
  </si>
  <si>
    <t>Equipment</t>
  </si>
  <si>
    <t>€/kW</t>
  </si>
  <si>
    <t>Installation</t>
  </si>
  <si>
    <t>Lifetime stack</t>
  </si>
  <si>
    <t>hrs</t>
  </si>
  <si>
    <t>yrs</t>
  </si>
  <si>
    <t>Lifetime rest</t>
  </si>
  <si>
    <t>Fraction for stack</t>
  </si>
  <si>
    <t>Levelised investment</t>
  </si>
  <si>
    <t>Total Lifetime</t>
  </si>
  <si>
    <t>y</t>
  </si>
  <si>
    <t>FLH</t>
  </si>
  <si>
    <t>Utility</t>
  </si>
  <si>
    <t>Electricity</t>
  </si>
  <si>
    <t>kWh/kg H2</t>
  </si>
  <si>
    <t>Gas</t>
  </si>
  <si>
    <t>kg</t>
  </si>
  <si>
    <t>Oxygen</t>
  </si>
  <si>
    <t>Energy cost</t>
  </si>
  <si>
    <t>€/t H2</t>
  </si>
  <si>
    <t>Fixed cost</t>
  </si>
  <si>
    <t>Wacc</t>
  </si>
  <si>
    <t>O&amp;M cost</t>
  </si>
  <si>
    <t>% CAPEX</t>
  </si>
  <si>
    <t>Revenue</t>
  </si>
  <si>
    <t>Oxygen produced</t>
  </si>
  <si>
    <t>Mt O2/y</t>
  </si>
  <si>
    <t>Oxygen sold</t>
  </si>
  <si>
    <t>Oxygen revenue</t>
  </si>
  <si>
    <t>M€/y</t>
  </si>
  <si>
    <t>Flexcapacity value</t>
  </si>
  <si>
    <t>k€/MW/y</t>
  </si>
  <si>
    <t>Flexcapacity used</t>
  </si>
  <si>
    <t>GW/y</t>
  </si>
  <si>
    <t>Flexcapacity revenue</t>
  </si>
  <si>
    <t>Share gas usage for heating</t>
  </si>
  <si>
    <t>Heat for hot oil + steam</t>
  </si>
  <si>
    <t>TWh/y</t>
  </si>
  <si>
    <t>Reduction gas usage</t>
  </si>
  <si>
    <t>Actual reduction gas usage</t>
  </si>
  <si>
    <t>Reduction H2 cost</t>
  </si>
  <si>
    <t>Total</t>
  </si>
  <si>
    <t>Total H2 costs</t>
  </si>
  <si>
    <t>CO2</t>
  </si>
  <si>
    <t>Mt CO2/Mt H2 emitted</t>
  </si>
  <si>
    <t>Mt CO2 to be stored</t>
  </si>
  <si>
    <t>€/t CO2</t>
  </si>
  <si>
    <t>CO2 abatement (rel to REF)</t>
  </si>
  <si>
    <t>A measure with 'NA' as CO2 abatement cost has both higher costs and greater CO2 emissions than its reference</t>
  </si>
  <si>
    <t>Financial Parameters</t>
  </si>
  <si>
    <t>Energy Carrier Properties</t>
  </si>
  <si>
    <t>kg CO2/MWh</t>
  </si>
  <si>
    <t>NG</t>
  </si>
  <si>
    <t>MJ/kg</t>
  </si>
  <si>
    <t>Electricity for electrolyzer</t>
  </si>
  <si>
    <t>H2 (LHV)</t>
  </si>
  <si>
    <t>kwh/kg</t>
  </si>
  <si>
    <t>€/t</t>
  </si>
  <si>
    <t>H2 (HHV)</t>
  </si>
  <si>
    <t>H2 (SMR)</t>
  </si>
  <si>
    <t>kg CO2/kg H2</t>
  </si>
  <si>
    <t>CO2 captured</t>
  </si>
  <si>
    <t>CO2 emitted</t>
  </si>
  <si>
    <t>CRF</t>
  </si>
  <si>
    <t>€/t/y</t>
  </si>
  <si>
    <t>Investment incl capital</t>
  </si>
  <si>
    <t>€/MWh</t>
  </si>
  <si>
    <t>Electricity portugal</t>
  </si>
  <si>
    <t>Grey</t>
  </si>
  <si>
    <t>Green</t>
  </si>
  <si>
    <t>Blue</t>
  </si>
  <si>
    <t>WACC Portugal</t>
  </si>
  <si>
    <t>Portugal</t>
  </si>
  <si>
    <t>CO2 Transport &amp; Storage cost</t>
  </si>
  <si>
    <t>Import cost</t>
  </si>
  <si>
    <t>Import</t>
  </si>
  <si>
    <t>WACC NL</t>
  </si>
  <si>
    <t>Dynamic parameters (energy carrier prices and CO2 intensity)</t>
  </si>
  <si>
    <t>Year</t>
  </si>
  <si>
    <t>PEM NL</t>
  </si>
  <si>
    <t>PEM Portugal</t>
  </si>
  <si>
    <t>Alk NL</t>
  </si>
  <si>
    <t>Alk Portugal</t>
  </si>
  <si>
    <t>Hydrogen cost</t>
  </si>
  <si>
    <t>CO2 abatement</t>
  </si>
  <si>
    <t>Min onrendabele top</t>
  </si>
  <si>
    <t>Totale onrendabele top</t>
  </si>
  <si>
    <t>kton</t>
  </si>
  <si>
    <t>CO2 intensity electricity</t>
  </si>
  <si>
    <t>Results</t>
  </si>
  <si>
    <t>Parameters</t>
  </si>
  <si>
    <t>For graphs</t>
  </si>
  <si>
    <t>CO2 price</t>
  </si>
  <si>
    <t>CO2 costs</t>
  </si>
  <si>
    <t>Import infrastructure</t>
  </si>
  <si>
    <t>Transport (and reconversion) costs</t>
  </si>
  <si>
    <t>Pipeline</t>
  </si>
  <si>
    <t>NH3 ship</t>
  </si>
  <si>
    <t>HV DC cable</t>
  </si>
  <si>
    <t>Total fixed cost</t>
  </si>
  <si>
    <t>parameters</t>
  </si>
  <si>
    <t>Calculations</t>
  </si>
  <si>
    <t>Introduction</t>
  </si>
  <si>
    <t>Objective</t>
  </si>
  <si>
    <t>Additional H2 demand rel to 2020</t>
  </si>
  <si>
    <t>Technology</t>
  </si>
  <si>
    <t>Sold against production cost</t>
  </si>
  <si>
    <t>Assumption: 30% of gas input is for heating purposes</t>
  </si>
  <si>
    <t>Assumption: 13% of heat recovered</t>
  </si>
  <si>
    <t>Assumption: heat otherwise generated with gas burner with 0.85 eff</t>
  </si>
  <si>
    <t>Transport and storage cost have to be estimated for the site of capture and site of storage</t>
  </si>
  <si>
    <t>Source: estimate Joost Sandberg, Nouryon</t>
  </si>
  <si>
    <t>Sources</t>
  </si>
  <si>
    <t>SMR</t>
  </si>
  <si>
    <t>NTNU (2016): Concepts for Large Scale Hydrogen Production</t>
  </si>
  <si>
    <t>IEAGHG (2017): Techno-Economic Evaluation of SMR Based Standalone (Merchant) Hydrogen Plant with CCS</t>
  </si>
  <si>
    <t>IEAGHG (2017): Reference data and Supporting Literature Reviews for SMR Based Hydrogen Production with CCS</t>
  </si>
  <si>
    <t>O. Schmidt et al. (2017): Future cost and performance of water electrolysis: an expert elicitation study. International Journal of Hydrogen Energy (42), 30470-30492</t>
  </si>
  <si>
    <t>ITM Power (2017): Scaling Electrolysis to 100 MW</t>
  </si>
  <si>
    <t>Based on a presentation by Siemens at the Oil and Gas Reinvented Conference, held on 9/11/2017 at the Shell Technology Centre Amsterdam</t>
  </si>
  <si>
    <t>Discussion with Lucas Bertrand, busines development Benelux ITM Power</t>
  </si>
  <si>
    <t>Fraunhofer Institute (2017): Cost Break Down and Cost Reduction for PEM Water Electrolysis Systems</t>
  </si>
  <si>
    <t>ATR</t>
  </si>
  <si>
    <t>ECN TNO (2020): Technology Factsheet. Steam Methane Reforming (SMR) for Hydrogen Production</t>
  </si>
  <si>
    <t>SMR+CCS</t>
  </si>
  <si>
    <t xml:space="preserve">ECN TNO (2019): Steam methane reforming (SMR) for hydrogen production with carbon capture using flue gas </t>
  </si>
  <si>
    <t xml:space="preserve">ECN TNO (2020): Autothermal reforming (ATR) for hydrogen production with carbon capture and storage (CCS) </t>
  </si>
  <si>
    <t>Import costs</t>
  </si>
  <si>
    <t>Kalavasta (2019): Hydrohub HyChain 2. Cost implications of importing renewable electricity, hydrogen and hydrogen carriers into the Netherlands from a 2050 perspective
Model User Guide, Technical Documentation, First Results and Country Profiles</t>
  </si>
  <si>
    <t>In addition: expert validations and joint fact finding session discussions</t>
  </si>
  <si>
    <t>References used</t>
  </si>
  <si>
    <t>PEM Electrolysis</t>
  </si>
  <si>
    <t>Alkaline Electrolysis</t>
  </si>
  <si>
    <t>For electrolysis: Source: Thijs de Groot, Nouryon</t>
  </si>
  <si>
    <t>LH2 ship (excl LH2 storage)</t>
  </si>
  <si>
    <t>Scope</t>
  </si>
  <si>
    <t>Structure</t>
  </si>
  <si>
    <t>Overview</t>
  </si>
  <si>
    <t xml:space="preserve">Hydrogen production costs, CO2 abatement costs and 'Onrendabele top' </t>
  </si>
  <si>
    <t>Contact:</t>
  </si>
  <si>
    <t>Kalavasta</t>
  </si>
  <si>
    <t>For EBN</t>
  </si>
  <si>
    <t>V1.0</t>
  </si>
  <si>
    <t>Not to be distributed</t>
  </si>
  <si>
    <t>info@kalavasta.com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</si>
</sst>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4">
    <font>
      <sz val="12"/>
      <color theme="1"/>
      <name val="Calibri"/>
      <family val="2"/>
      <scheme val="minor"/>
    </font>
    <font>
      <b/>
      <sz val="12"/>
      <color theme="1"/>
      <name val="Calibri"/>
      <family val="2"/>
      <scheme val="minor"/>
    </font>
    <font>
      <sz val="12"/>
      <color theme="0"/>
      <name val="Calibri"/>
      <family val="2"/>
      <scheme val="minor"/>
    </font>
    <font>
      <i/>
      <sz val="12"/>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b/>
      <u/>
      <sz val="16"/>
      <color theme="1"/>
      <name val="Calibri"/>
      <family val="2"/>
      <scheme val="minor"/>
    </font>
    <font>
      <b/>
      <sz val="16"/>
      <color theme="1"/>
      <name val="Calibri"/>
      <family val="2"/>
      <scheme val="minor"/>
    </font>
    <font>
      <b/>
      <sz val="18"/>
      <color theme="1"/>
      <name val="Calibri"/>
      <family val="2"/>
      <scheme val="minor"/>
    </font>
    <font>
      <sz val="10"/>
      <color rgb="FF000000"/>
      <name val="Tahoma"/>
      <family val="2"/>
    </font>
    <font>
      <b/>
      <sz val="10"/>
      <color rgb="FF000000"/>
      <name val="Tahoma"/>
      <family val="2"/>
    </font>
    <font>
      <sz val="14"/>
      <color theme="1"/>
      <name val="Calibri"/>
      <family val="2"/>
      <scheme val="minor"/>
    </font>
    <font>
      <u/>
      <sz val="12"/>
      <color theme="1"/>
      <name val="Calibri"/>
      <family val="2"/>
      <scheme val="minor"/>
    </font>
  </fonts>
  <fills count="4">
    <fill>
      <patternFill patternType="none"/>
    </fill>
    <fill>
      <patternFill patternType="gray125"/>
    </fill>
    <fill>
      <patternFill patternType="solid">
        <fgColor indexed="65"/>
        <bgColor indexed="64"/>
      </patternFill>
    </fill>
    <fill>
      <patternFill patternType="solid">
        <fgColor theme="1" tint="4.9989318521683403E-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cellStyleXfs>
  <cellXfs count="41">
    <xf numFmtId="0" fontId="0" fillId="0" borderId="0" xfId="0"/>
    <xf numFmtId="0" fontId="0" fillId="2" borderId="0" xfId="0" applyFill="1"/>
    <xf numFmtId="0" fontId="1" fillId="2" borderId="0" xfId="0" applyFont="1" applyFill="1" applyBorder="1"/>
    <xf numFmtId="0" fontId="0" fillId="2" borderId="0" xfId="0" applyFill="1" applyBorder="1"/>
    <xf numFmtId="0" fontId="1" fillId="2" borderId="0" xfId="0" applyFont="1" applyFill="1"/>
    <xf numFmtId="0" fontId="0" fillId="2" borderId="0" xfId="0" applyFont="1" applyFill="1" applyBorder="1"/>
    <xf numFmtId="2" fontId="0" fillId="2" borderId="0" xfId="0" applyNumberFormat="1" applyFill="1"/>
    <xf numFmtId="2" fontId="0" fillId="2" borderId="0" xfId="0" applyNumberFormat="1" applyFill="1" applyBorder="1"/>
    <xf numFmtId="2" fontId="0" fillId="0" borderId="1" xfId="0" applyNumberFormat="1" applyFill="1" applyBorder="1"/>
    <xf numFmtId="2" fontId="0" fillId="2" borderId="1" xfId="0" applyNumberFormat="1" applyFill="1" applyBorder="1"/>
    <xf numFmtId="2" fontId="0" fillId="0" borderId="0" xfId="0" applyNumberFormat="1" applyFill="1" applyBorder="1"/>
    <xf numFmtId="20" fontId="0" fillId="2" borderId="0" xfId="0" applyNumberFormat="1" applyFill="1" applyBorder="1"/>
    <xf numFmtId="0" fontId="3" fillId="2" borderId="0" xfId="0" applyFont="1" applyFill="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1" xfId="0" applyFill="1" applyBorder="1"/>
    <xf numFmtId="0" fontId="0" fillId="2" borderId="8" xfId="0" applyFill="1" applyBorder="1"/>
    <xf numFmtId="0" fontId="0" fillId="2" borderId="9" xfId="0" applyFill="1" applyBorder="1"/>
    <xf numFmtId="0" fontId="0" fillId="2" borderId="10" xfId="0" applyFill="1" applyBorder="1"/>
    <xf numFmtId="164" fontId="0" fillId="2" borderId="0" xfId="0" applyNumberFormat="1" applyFill="1" applyBorder="1"/>
    <xf numFmtId="1" fontId="2" fillId="3" borderId="0" xfId="0" applyNumberFormat="1" applyFont="1" applyFill="1" applyBorder="1"/>
    <xf numFmtId="1" fontId="0" fillId="2" borderId="0" xfId="0" applyNumberFormat="1" applyFill="1" applyBorder="1"/>
    <xf numFmtId="1" fontId="0" fillId="2" borderId="0" xfId="0" applyNumberFormat="1" applyFill="1"/>
    <xf numFmtId="165" fontId="0" fillId="2" borderId="0" xfId="0" applyNumberFormat="1" applyFill="1" applyBorder="1"/>
    <xf numFmtId="1" fontId="0" fillId="2" borderId="2" xfId="0" applyNumberFormat="1" applyFill="1" applyBorder="1"/>
    <xf numFmtId="1" fontId="0" fillId="2" borderId="1" xfId="0" applyNumberFormat="1" applyFill="1" applyBorder="1"/>
    <xf numFmtId="165" fontId="0" fillId="2" borderId="0" xfId="0" applyNumberFormat="1" applyFill="1"/>
    <xf numFmtId="0" fontId="0" fillId="0" borderId="1" xfId="0" applyFill="1" applyBorder="1"/>
    <xf numFmtId="165" fontId="0" fillId="2" borderId="1" xfId="0" applyNumberFormat="1" applyFill="1" applyBorder="1"/>
    <xf numFmtId="1" fontId="0" fillId="2" borderId="0" xfId="0" applyNumberFormat="1" applyFont="1" applyFill="1" applyBorder="1"/>
    <xf numFmtId="0" fontId="6" fillId="2" borderId="0" xfId="0" applyFont="1" applyFill="1"/>
    <xf numFmtId="0" fontId="7" fillId="2" borderId="3" xfId="0" applyFont="1" applyFill="1" applyBorder="1"/>
    <xf numFmtId="0" fontId="8" fillId="2" borderId="0" xfId="0" applyFont="1" applyFill="1"/>
    <xf numFmtId="0" fontId="7" fillId="2" borderId="0" xfId="0" applyFont="1" applyFill="1"/>
    <xf numFmtId="0" fontId="9" fillId="2" borderId="0" xfId="0" applyFont="1" applyFill="1"/>
    <xf numFmtId="0" fontId="12" fillId="2" borderId="0" xfId="0" applyFont="1" applyFill="1"/>
    <xf numFmtId="0" fontId="13" fillId="2" borderId="0" xfId="0" applyFont="1" applyFill="1"/>
    <xf numFmtId="0" fontId="4" fillId="2" borderId="0" xfId="5" applyFill="1"/>
  </cellXfs>
  <cellStyles count="6">
    <cellStyle name="Followed Hyperlink" xfId="2" builtinId="9" hidden="1"/>
    <cellStyle name="Followed Hyperlink" xfId="4" builtinId="9" hidden="1"/>
    <cellStyle name="Hyperlink" xfId="1" builtinId="8" hidden="1"/>
    <cellStyle name="Hyperlink" xfId="3" builtinId="8" hidden="1"/>
    <cellStyle name="Hyperlink" xfId="5"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Hydrogen production cost</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NL"/>
        </a:p>
      </c:txPr>
    </c:title>
    <c:autoTitleDeleted val="0"/>
    <c:plotArea>
      <c:layout/>
      <c:barChart>
        <c:barDir val="col"/>
        <c:grouping val="clustered"/>
        <c:varyColors val="0"/>
        <c:ser>
          <c:idx val="0"/>
          <c:order val="0"/>
          <c:tx>
            <c:strRef>
              <c:f>Calculations!$C$122</c:f>
              <c:strCache>
                <c:ptCount val="1"/>
                <c:pt idx="0">
                  <c:v>SMR (REF)</c:v>
                </c:pt>
              </c:strCache>
            </c:strRef>
          </c:tx>
          <c:spPr>
            <a:solidFill>
              <a:schemeClr val="accent3">
                <a:lumMod val="50000"/>
              </a:schemeClr>
            </a:solidFill>
            <a:ln>
              <a:noFill/>
            </a:ln>
            <a:effectLst/>
          </c:spPr>
          <c:invertIfNegative val="0"/>
          <c:cat>
            <c:numRef>
              <c:f>Calculations!$D$121:$F$121</c:f>
              <c:numCache>
                <c:formatCode>0</c:formatCode>
                <c:ptCount val="3"/>
                <c:pt idx="0">
                  <c:v>2025</c:v>
                </c:pt>
                <c:pt idx="1">
                  <c:v>2030</c:v>
                </c:pt>
                <c:pt idx="2">
                  <c:v>2035</c:v>
                </c:pt>
              </c:numCache>
            </c:numRef>
          </c:cat>
          <c:val>
            <c:numRef>
              <c:f>Calculations!$D$122:$F$122</c:f>
              <c:numCache>
                <c:formatCode>0</c:formatCode>
                <c:ptCount val="3"/>
                <c:pt idx="0">
                  <c:v>1832.0177184606821</c:v>
                </c:pt>
                <c:pt idx="1">
                  <c:v>1916.9177184606822</c:v>
                </c:pt>
                <c:pt idx="2">
                  <c:v>2044.2677184606819</c:v>
                </c:pt>
              </c:numCache>
            </c:numRef>
          </c:val>
          <c:extLst>
            <c:ext xmlns:c16="http://schemas.microsoft.com/office/drawing/2014/chart" uri="{C3380CC4-5D6E-409C-BE32-E72D297353CC}">
              <c16:uniqueId val="{00000000-D289-6243-8373-DE9984D6A284}"/>
            </c:ext>
          </c:extLst>
        </c:ser>
        <c:ser>
          <c:idx val="1"/>
          <c:order val="1"/>
          <c:tx>
            <c:strRef>
              <c:f>Calculations!$C$123</c:f>
              <c:strCache>
                <c:ptCount val="1"/>
                <c:pt idx="0">
                  <c:v>PEM NL</c:v>
                </c:pt>
              </c:strCache>
            </c:strRef>
          </c:tx>
          <c:spPr>
            <a:solidFill>
              <a:schemeClr val="accent6">
                <a:lumMod val="50000"/>
              </a:schemeClr>
            </a:solidFill>
            <a:ln>
              <a:noFill/>
            </a:ln>
            <a:effectLst/>
          </c:spPr>
          <c:invertIfNegative val="0"/>
          <c:cat>
            <c:numRef>
              <c:f>Calculations!$D$121:$F$121</c:f>
              <c:numCache>
                <c:formatCode>0</c:formatCode>
                <c:ptCount val="3"/>
                <c:pt idx="0">
                  <c:v>2025</c:v>
                </c:pt>
                <c:pt idx="1">
                  <c:v>2030</c:v>
                </c:pt>
                <c:pt idx="2">
                  <c:v>2035</c:v>
                </c:pt>
              </c:numCache>
            </c:numRef>
          </c:cat>
          <c:val>
            <c:numRef>
              <c:f>Calculations!$D$123:$F$123</c:f>
              <c:numCache>
                <c:formatCode>0</c:formatCode>
                <c:ptCount val="3"/>
                <c:pt idx="0">
                  <c:v>2367.7493759488498</c:v>
                </c:pt>
                <c:pt idx="1">
                  <c:v>2196.243915851564</c:v>
                </c:pt>
                <c:pt idx="2">
                  <c:v>2069.7391636070338</c:v>
                </c:pt>
              </c:numCache>
            </c:numRef>
          </c:val>
          <c:extLst>
            <c:ext xmlns:c16="http://schemas.microsoft.com/office/drawing/2014/chart" uri="{C3380CC4-5D6E-409C-BE32-E72D297353CC}">
              <c16:uniqueId val="{00000001-D289-6243-8373-DE9984D6A284}"/>
            </c:ext>
          </c:extLst>
        </c:ser>
        <c:ser>
          <c:idx val="2"/>
          <c:order val="2"/>
          <c:tx>
            <c:strRef>
              <c:f>Calculations!$C$124</c:f>
              <c:strCache>
                <c:ptCount val="1"/>
                <c:pt idx="0">
                  <c:v>PEM Portugal</c:v>
                </c:pt>
              </c:strCache>
            </c:strRef>
          </c:tx>
          <c:spPr>
            <a:solidFill>
              <a:schemeClr val="accent4">
                <a:lumMod val="75000"/>
              </a:schemeClr>
            </a:solidFill>
            <a:ln>
              <a:noFill/>
            </a:ln>
            <a:effectLst/>
          </c:spPr>
          <c:invertIfNegative val="0"/>
          <c:cat>
            <c:numRef>
              <c:f>Calculations!$D$121:$F$121</c:f>
              <c:numCache>
                <c:formatCode>0</c:formatCode>
                <c:ptCount val="3"/>
                <c:pt idx="0">
                  <c:v>2025</c:v>
                </c:pt>
                <c:pt idx="1">
                  <c:v>2030</c:v>
                </c:pt>
                <c:pt idx="2">
                  <c:v>2035</c:v>
                </c:pt>
              </c:numCache>
            </c:numRef>
          </c:cat>
          <c:val>
            <c:numRef>
              <c:f>Calculations!$D$124:$F$124</c:f>
              <c:numCache>
                <c:formatCode>0</c:formatCode>
                <c:ptCount val="3"/>
                <c:pt idx="0">
                  <c:v>3189.042327588681</c:v>
                </c:pt>
                <c:pt idx="1">
                  <c:v>2914.0676528524691</c:v>
                </c:pt>
                <c:pt idx="2">
                  <c:v>1843.2818610600548</c:v>
                </c:pt>
              </c:numCache>
            </c:numRef>
          </c:val>
          <c:extLst>
            <c:ext xmlns:c16="http://schemas.microsoft.com/office/drawing/2014/chart" uri="{C3380CC4-5D6E-409C-BE32-E72D297353CC}">
              <c16:uniqueId val="{00000002-D289-6243-8373-DE9984D6A284}"/>
            </c:ext>
          </c:extLst>
        </c:ser>
        <c:ser>
          <c:idx val="3"/>
          <c:order val="3"/>
          <c:tx>
            <c:strRef>
              <c:f>Calculations!$C$125</c:f>
              <c:strCache>
                <c:ptCount val="1"/>
                <c:pt idx="0">
                  <c:v>Alk NL</c:v>
                </c:pt>
              </c:strCache>
            </c:strRef>
          </c:tx>
          <c:spPr>
            <a:solidFill>
              <a:schemeClr val="accent6">
                <a:lumMod val="75000"/>
              </a:schemeClr>
            </a:solidFill>
            <a:ln>
              <a:noFill/>
            </a:ln>
            <a:effectLst/>
          </c:spPr>
          <c:invertIfNegative val="0"/>
          <c:cat>
            <c:numRef>
              <c:f>Calculations!$D$121:$F$121</c:f>
              <c:numCache>
                <c:formatCode>0</c:formatCode>
                <c:ptCount val="3"/>
                <c:pt idx="0">
                  <c:v>2025</c:v>
                </c:pt>
                <c:pt idx="1">
                  <c:v>2030</c:v>
                </c:pt>
                <c:pt idx="2">
                  <c:v>2035</c:v>
                </c:pt>
              </c:numCache>
            </c:numRef>
          </c:cat>
          <c:val>
            <c:numRef>
              <c:f>Calculations!$D$125:$F$125</c:f>
              <c:numCache>
                <c:formatCode>0</c:formatCode>
                <c:ptCount val="3"/>
                <c:pt idx="0">
                  <c:v>2222.7806546546071</c:v>
                </c:pt>
                <c:pt idx="1">
                  <c:v>2055.8054670977667</c:v>
                </c:pt>
                <c:pt idx="2">
                  <c:v>1931.461306372526</c:v>
                </c:pt>
              </c:numCache>
            </c:numRef>
          </c:val>
          <c:extLst>
            <c:ext xmlns:c16="http://schemas.microsoft.com/office/drawing/2014/chart" uri="{C3380CC4-5D6E-409C-BE32-E72D297353CC}">
              <c16:uniqueId val="{00000003-D289-6243-8373-DE9984D6A284}"/>
            </c:ext>
          </c:extLst>
        </c:ser>
        <c:ser>
          <c:idx val="4"/>
          <c:order val="4"/>
          <c:tx>
            <c:strRef>
              <c:f>Calculations!$C$126</c:f>
              <c:strCache>
                <c:ptCount val="1"/>
                <c:pt idx="0">
                  <c:v>Alk Portugal</c:v>
                </c:pt>
              </c:strCache>
            </c:strRef>
          </c:tx>
          <c:spPr>
            <a:solidFill>
              <a:schemeClr val="accent4">
                <a:lumMod val="60000"/>
                <a:lumOff val="40000"/>
              </a:schemeClr>
            </a:solidFill>
            <a:ln>
              <a:noFill/>
            </a:ln>
            <a:effectLst/>
          </c:spPr>
          <c:invertIfNegative val="0"/>
          <c:cat>
            <c:numRef>
              <c:f>Calculations!$D$121:$F$121</c:f>
              <c:numCache>
                <c:formatCode>0</c:formatCode>
                <c:ptCount val="3"/>
                <c:pt idx="0">
                  <c:v>2025</c:v>
                </c:pt>
                <c:pt idx="1">
                  <c:v>2030</c:v>
                </c:pt>
                <c:pt idx="2">
                  <c:v>2035</c:v>
                </c:pt>
              </c:numCache>
            </c:numRef>
          </c:cat>
          <c:val>
            <c:numRef>
              <c:f>Calculations!$D$126:$F$126</c:f>
              <c:numCache>
                <c:formatCode>0</c:formatCode>
                <c:ptCount val="3"/>
                <c:pt idx="0">
                  <c:v>3032.8636669792172</c:v>
                </c:pt>
                <c:pt idx="1">
                  <c:v>2762.7695753870516</c:v>
                </c:pt>
                <c:pt idx="2">
                  <c:v>1694.3114463248744</c:v>
                </c:pt>
              </c:numCache>
            </c:numRef>
          </c:val>
          <c:extLst>
            <c:ext xmlns:c16="http://schemas.microsoft.com/office/drawing/2014/chart" uri="{C3380CC4-5D6E-409C-BE32-E72D297353CC}">
              <c16:uniqueId val="{00000004-D289-6243-8373-DE9984D6A284}"/>
            </c:ext>
          </c:extLst>
        </c:ser>
        <c:ser>
          <c:idx val="5"/>
          <c:order val="5"/>
          <c:tx>
            <c:strRef>
              <c:f>Calculations!$C$127</c:f>
              <c:strCache>
                <c:ptCount val="1"/>
                <c:pt idx="0">
                  <c:v>SMR + CCS</c:v>
                </c:pt>
              </c:strCache>
            </c:strRef>
          </c:tx>
          <c:spPr>
            <a:solidFill>
              <a:schemeClr val="accent1">
                <a:lumMod val="75000"/>
              </a:schemeClr>
            </a:solidFill>
            <a:ln>
              <a:noFill/>
            </a:ln>
            <a:effectLst/>
          </c:spPr>
          <c:invertIfNegative val="0"/>
          <c:cat>
            <c:numRef>
              <c:f>Calculations!$D$121:$F$121</c:f>
              <c:numCache>
                <c:formatCode>0</c:formatCode>
                <c:ptCount val="3"/>
                <c:pt idx="0">
                  <c:v>2025</c:v>
                </c:pt>
                <c:pt idx="1">
                  <c:v>2030</c:v>
                </c:pt>
                <c:pt idx="2">
                  <c:v>2035</c:v>
                </c:pt>
              </c:numCache>
            </c:numRef>
          </c:cat>
          <c:val>
            <c:numRef>
              <c:f>Calculations!$D$127:$F$127</c:f>
              <c:numCache>
                <c:formatCode>0</c:formatCode>
                <c:ptCount val="3"/>
                <c:pt idx="0">
                  <c:v>2334.1650502284847</c:v>
                </c:pt>
                <c:pt idx="1">
                  <c:v>2336.7150502284849</c:v>
                </c:pt>
                <c:pt idx="2">
                  <c:v>2381.7150502284844</c:v>
                </c:pt>
              </c:numCache>
            </c:numRef>
          </c:val>
          <c:extLst>
            <c:ext xmlns:c16="http://schemas.microsoft.com/office/drawing/2014/chart" uri="{C3380CC4-5D6E-409C-BE32-E72D297353CC}">
              <c16:uniqueId val="{00000005-D289-6243-8373-DE9984D6A284}"/>
            </c:ext>
          </c:extLst>
        </c:ser>
        <c:ser>
          <c:idx val="6"/>
          <c:order val="6"/>
          <c:tx>
            <c:strRef>
              <c:f>Calculations!$C$128</c:f>
              <c:strCache>
                <c:ptCount val="1"/>
                <c:pt idx="0">
                  <c:v>ATR + CCS </c:v>
                </c:pt>
              </c:strCache>
            </c:strRef>
          </c:tx>
          <c:spPr>
            <a:solidFill>
              <a:schemeClr val="accent1">
                <a:lumMod val="50000"/>
              </a:schemeClr>
            </a:solidFill>
            <a:ln>
              <a:noFill/>
            </a:ln>
            <a:effectLst/>
          </c:spPr>
          <c:invertIfNegative val="0"/>
          <c:cat>
            <c:numRef>
              <c:f>Calculations!$D$121:$F$121</c:f>
              <c:numCache>
                <c:formatCode>0</c:formatCode>
                <c:ptCount val="3"/>
                <c:pt idx="0">
                  <c:v>2025</c:v>
                </c:pt>
                <c:pt idx="1">
                  <c:v>2030</c:v>
                </c:pt>
                <c:pt idx="2">
                  <c:v>2035</c:v>
                </c:pt>
              </c:numCache>
            </c:numRef>
          </c:cat>
          <c:val>
            <c:numRef>
              <c:f>Calculations!$D$128:$F$128</c:f>
              <c:numCache>
                <c:formatCode>0</c:formatCode>
                <c:ptCount val="3"/>
                <c:pt idx="0">
                  <c:v>2331.0255640838436</c:v>
                </c:pt>
                <c:pt idx="1">
                  <c:v>2301.4455640838437</c:v>
                </c:pt>
                <c:pt idx="2">
                  <c:v>2314.3155640838436</c:v>
                </c:pt>
              </c:numCache>
            </c:numRef>
          </c:val>
          <c:extLst>
            <c:ext xmlns:c16="http://schemas.microsoft.com/office/drawing/2014/chart" uri="{C3380CC4-5D6E-409C-BE32-E72D297353CC}">
              <c16:uniqueId val="{00000006-D289-6243-8373-DE9984D6A284}"/>
            </c:ext>
          </c:extLst>
        </c:ser>
        <c:dLbls>
          <c:showLegendKey val="0"/>
          <c:showVal val="0"/>
          <c:showCatName val="0"/>
          <c:showSerName val="0"/>
          <c:showPercent val="0"/>
          <c:showBubbleSize val="0"/>
        </c:dLbls>
        <c:gapWidth val="219"/>
        <c:overlap val="-27"/>
        <c:axId val="1075456991"/>
        <c:axId val="1075441951"/>
      </c:barChart>
      <c:catAx>
        <c:axId val="1075456991"/>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NL"/>
          </a:p>
        </c:txPr>
        <c:crossAx val="1075441951"/>
        <c:crosses val="autoZero"/>
        <c:auto val="1"/>
        <c:lblAlgn val="ctr"/>
        <c:lblOffset val="100"/>
        <c:noMultiLvlLbl val="0"/>
      </c:catAx>
      <c:valAx>
        <c:axId val="10754419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Hydrogen production cost [€/t]</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NL"/>
          </a:p>
        </c:txPr>
        <c:crossAx val="10754569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CO2 abatement costs</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NL"/>
        </a:p>
      </c:txPr>
    </c:title>
    <c:autoTitleDeleted val="0"/>
    <c:plotArea>
      <c:layout/>
      <c:barChart>
        <c:barDir val="col"/>
        <c:grouping val="clustered"/>
        <c:varyColors val="0"/>
        <c:ser>
          <c:idx val="2"/>
          <c:order val="0"/>
          <c:tx>
            <c:strRef>
              <c:f>Calculations!$C$132</c:f>
              <c:strCache>
                <c:ptCount val="1"/>
                <c:pt idx="0">
                  <c:v>PEM NL</c:v>
                </c:pt>
              </c:strCache>
            </c:strRef>
          </c:tx>
          <c:spPr>
            <a:solidFill>
              <a:schemeClr val="accent6">
                <a:lumMod val="50000"/>
              </a:schemeClr>
            </a:solidFill>
            <a:ln>
              <a:noFill/>
            </a:ln>
            <a:effectLst/>
          </c:spPr>
          <c:invertIfNegative val="0"/>
          <c:cat>
            <c:numRef>
              <c:f>Calculations!$D$131:$F$131</c:f>
              <c:numCache>
                <c:formatCode>0</c:formatCode>
                <c:ptCount val="3"/>
                <c:pt idx="0">
                  <c:v>2025</c:v>
                </c:pt>
                <c:pt idx="1">
                  <c:v>2030</c:v>
                </c:pt>
                <c:pt idx="2">
                  <c:v>2035</c:v>
                </c:pt>
              </c:numCache>
            </c:numRef>
          </c:cat>
          <c:val>
            <c:numRef>
              <c:f>Calculations!$D$132:$F$132</c:f>
              <c:numCache>
                <c:formatCode>0</c:formatCode>
                <c:ptCount val="3"/>
                <c:pt idx="0">
                  <c:v>63.101490870219983</c:v>
                </c:pt>
                <c:pt idx="1">
                  <c:v>32.900612177960163</c:v>
                </c:pt>
                <c:pt idx="2">
                  <c:v>3.000170217473725</c:v>
                </c:pt>
              </c:numCache>
            </c:numRef>
          </c:val>
          <c:extLst>
            <c:ext xmlns:c16="http://schemas.microsoft.com/office/drawing/2014/chart" uri="{C3380CC4-5D6E-409C-BE32-E72D297353CC}">
              <c16:uniqueId val="{00000002-39C2-E745-AA09-6DAB7667D816}"/>
            </c:ext>
          </c:extLst>
        </c:ser>
        <c:ser>
          <c:idx val="3"/>
          <c:order val="1"/>
          <c:tx>
            <c:strRef>
              <c:f>Calculations!$C$133</c:f>
              <c:strCache>
                <c:ptCount val="1"/>
                <c:pt idx="0">
                  <c:v>PEM Portugal</c:v>
                </c:pt>
              </c:strCache>
            </c:strRef>
          </c:tx>
          <c:spPr>
            <a:solidFill>
              <a:schemeClr val="accent4">
                <a:lumMod val="75000"/>
              </a:schemeClr>
            </a:solidFill>
            <a:ln>
              <a:noFill/>
            </a:ln>
            <a:effectLst/>
          </c:spPr>
          <c:invertIfNegative val="0"/>
          <c:cat>
            <c:numRef>
              <c:f>Calculations!$D$131:$F$131</c:f>
              <c:numCache>
                <c:formatCode>0</c:formatCode>
                <c:ptCount val="3"/>
                <c:pt idx="0">
                  <c:v>2025</c:v>
                </c:pt>
                <c:pt idx="1">
                  <c:v>2030</c:v>
                </c:pt>
                <c:pt idx="2">
                  <c:v>2035</c:v>
                </c:pt>
              </c:numCache>
            </c:numRef>
          </c:cat>
          <c:val>
            <c:numRef>
              <c:f>Calculations!$D$133:$F$133</c:f>
              <c:numCache>
                <c:formatCode>0</c:formatCode>
                <c:ptCount val="3"/>
                <c:pt idx="0">
                  <c:v>159.83799871943449</c:v>
                </c:pt>
                <c:pt idx="1">
                  <c:v>117.4499333794802</c:v>
                </c:pt>
                <c:pt idx="2">
                  <c:v>-23.673245865798243</c:v>
                </c:pt>
              </c:numCache>
            </c:numRef>
          </c:val>
          <c:extLst>
            <c:ext xmlns:c16="http://schemas.microsoft.com/office/drawing/2014/chart" uri="{C3380CC4-5D6E-409C-BE32-E72D297353CC}">
              <c16:uniqueId val="{00000003-39C2-E745-AA09-6DAB7667D816}"/>
            </c:ext>
          </c:extLst>
        </c:ser>
        <c:ser>
          <c:idx val="4"/>
          <c:order val="2"/>
          <c:tx>
            <c:strRef>
              <c:f>Calculations!$C$134</c:f>
              <c:strCache>
                <c:ptCount val="1"/>
                <c:pt idx="0">
                  <c:v>Alk NL</c:v>
                </c:pt>
              </c:strCache>
            </c:strRef>
          </c:tx>
          <c:spPr>
            <a:solidFill>
              <a:schemeClr val="accent6">
                <a:lumMod val="75000"/>
              </a:schemeClr>
            </a:solidFill>
            <a:ln>
              <a:noFill/>
            </a:ln>
            <a:effectLst/>
          </c:spPr>
          <c:invertIfNegative val="0"/>
          <c:cat>
            <c:numRef>
              <c:f>Calculations!$D$131:$F$131</c:f>
              <c:numCache>
                <c:formatCode>0</c:formatCode>
                <c:ptCount val="3"/>
                <c:pt idx="0">
                  <c:v>2025</c:v>
                </c:pt>
                <c:pt idx="1">
                  <c:v>2030</c:v>
                </c:pt>
                <c:pt idx="2">
                  <c:v>2035</c:v>
                </c:pt>
              </c:numCache>
            </c:numRef>
          </c:cat>
          <c:val>
            <c:numRef>
              <c:f>Calculations!$D$134:$F$134</c:f>
              <c:numCache>
                <c:formatCode>0</c:formatCode>
                <c:ptCount val="3"/>
                <c:pt idx="0">
                  <c:v>46.026258680085398</c:v>
                </c:pt>
                <c:pt idx="1">
                  <c:v>16.358980993767318</c:v>
                </c:pt>
                <c:pt idx="2">
                  <c:v>-13.28697433311612</c:v>
                </c:pt>
              </c:numCache>
            </c:numRef>
          </c:val>
          <c:extLst>
            <c:ext xmlns:c16="http://schemas.microsoft.com/office/drawing/2014/chart" uri="{C3380CC4-5D6E-409C-BE32-E72D297353CC}">
              <c16:uniqueId val="{00000004-39C2-E745-AA09-6DAB7667D816}"/>
            </c:ext>
          </c:extLst>
        </c:ser>
        <c:ser>
          <c:idx val="5"/>
          <c:order val="3"/>
          <c:tx>
            <c:strRef>
              <c:f>Calculations!$C$135</c:f>
              <c:strCache>
                <c:ptCount val="1"/>
                <c:pt idx="0">
                  <c:v>Alk Portugal</c:v>
                </c:pt>
              </c:strCache>
            </c:strRef>
          </c:tx>
          <c:spPr>
            <a:solidFill>
              <a:schemeClr val="accent4">
                <a:lumMod val="60000"/>
                <a:lumOff val="40000"/>
              </a:schemeClr>
            </a:solidFill>
            <a:ln>
              <a:noFill/>
            </a:ln>
            <a:effectLst/>
          </c:spPr>
          <c:invertIfNegative val="0"/>
          <c:cat>
            <c:numRef>
              <c:f>Calculations!$D$131:$F$131</c:f>
              <c:numCache>
                <c:formatCode>0</c:formatCode>
                <c:ptCount val="3"/>
                <c:pt idx="0">
                  <c:v>2025</c:v>
                </c:pt>
                <c:pt idx="1">
                  <c:v>2030</c:v>
                </c:pt>
                <c:pt idx="2">
                  <c:v>2035</c:v>
                </c:pt>
              </c:numCache>
            </c:numRef>
          </c:cat>
          <c:val>
            <c:numRef>
              <c:f>Calculations!$D$135:$F$135</c:f>
              <c:numCache>
                <c:formatCode>0</c:formatCode>
                <c:ptCount val="3"/>
                <c:pt idx="0">
                  <c:v>141.44239676307834</c:v>
                </c:pt>
                <c:pt idx="1">
                  <c:v>99.62919398426024</c:v>
                </c:pt>
                <c:pt idx="2">
                  <c:v>-41.219820039553291</c:v>
                </c:pt>
              </c:numCache>
            </c:numRef>
          </c:val>
          <c:extLst>
            <c:ext xmlns:c16="http://schemas.microsoft.com/office/drawing/2014/chart" uri="{C3380CC4-5D6E-409C-BE32-E72D297353CC}">
              <c16:uniqueId val="{00000005-39C2-E745-AA09-6DAB7667D816}"/>
            </c:ext>
          </c:extLst>
        </c:ser>
        <c:ser>
          <c:idx val="6"/>
          <c:order val="4"/>
          <c:tx>
            <c:strRef>
              <c:f>Calculations!$C$136</c:f>
              <c:strCache>
                <c:ptCount val="1"/>
                <c:pt idx="0">
                  <c:v>SMR + CCS</c:v>
                </c:pt>
              </c:strCache>
            </c:strRef>
          </c:tx>
          <c:spPr>
            <a:solidFill>
              <a:schemeClr val="accent1">
                <a:lumMod val="75000"/>
              </a:schemeClr>
            </a:solidFill>
            <a:ln>
              <a:noFill/>
            </a:ln>
            <a:effectLst/>
          </c:spPr>
          <c:invertIfNegative val="0"/>
          <c:cat>
            <c:numRef>
              <c:f>Calculations!$D$131:$F$131</c:f>
              <c:numCache>
                <c:formatCode>0</c:formatCode>
                <c:ptCount val="3"/>
                <c:pt idx="0">
                  <c:v>2025</c:v>
                </c:pt>
                <c:pt idx="1">
                  <c:v>2030</c:v>
                </c:pt>
                <c:pt idx="2">
                  <c:v>2035</c:v>
                </c:pt>
              </c:numCache>
            </c:numRef>
          </c:cat>
          <c:val>
            <c:numRef>
              <c:f>Calculations!$D$136:$F$136</c:f>
              <c:numCache>
                <c:formatCode>0</c:formatCode>
                <c:ptCount val="3"/>
                <c:pt idx="0">
                  <c:v>91.465816351148007</c:v>
                </c:pt>
                <c:pt idx="1">
                  <c:v>76.465816351148021</c:v>
                </c:pt>
                <c:pt idx="2">
                  <c:v>61.465816351148007</c:v>
                </c:pt>
              </c:numCache>
            </c:numRef>
          </c:val>
          <c:extLst>
            <c:ext xmlns:c16="http://schemas.microsoft.com/office/drawing/2014/chart" uri="{C3380CC4-5D6E-409C-BE32-E72D297353CC}">
              <c16:uniqueId val="{00000006-39C2-E745-AA09-6DAB7667D816}"/>
            </c:ext>
          </c:extLst>
        </c:ser>
        <c:ser>
          <c:idx val="0"/>
          <c:order val="5"/>
          <c:tx>
            <c:strRef>
              <c:f>Calculations!$C$137</c:f>
              <c:strCache>
                <c:ptCount val="1"/>
                <c:pt idx="0">
                  <c:v>ATR + CCS </c:v>
                </c:pt>
              </c:strCache>
            </c:strRef>
          </c:tx>
          <c:spPr>
            <a:solidFill>
              <a:schemeClr val="accent1">
                <a:lumMod val="50000"/>
              </a:schemeClr>
            </a:solidFill>
            <a:ln>
              <a:noFill/>
            </a:ln>
            <a:effectLst/>
          </c:spPr>
          <c:invertIfNegative val="0"/>
          <c:cat>
            <c:numRef>
              <c:f>Calculations!$D$131:$F$131</c:f>
              <c:numCache>
                <c:formatCode>0</c:formatCode>
                <c:ptCount val="3"/>
                <c:pt idx="0">
                  <c:v>2025</c:v>
                </c:pt>
                <c:pt idx="1">
                  <c:v>2030</c:v>
                </c:pt>
                <c:pt idx="2">
                  <c:v>2035</c:v>
                </c:pt>
              </c:numCache>
            </c:numRef>
          </c:cat>
          <c:val>
            <c:numRef>
              <c:f>Calculations!$D$137:$F$137</c:f>
              <c:numCache>
                <c:formatCode>0</c:formatCode>
                <c:ptCount val="3"/>
                <c:pt idx="0">
                  <c:v>65.383627571168972</c:v>
                </c:pt>
                <c:pt idx="1">
                  <c:v>50.383627571168965</c:v>
                </c:pt>
                <c:pt idx="2">
                  <c:v>35.383627571168986</c:v>
                </c:pt>
              </c:numCache>
            </c:numRef>
          </c:val>
          <c:extLst>
            <c:ext xmlns:c16="http://schemas.microsoft.com/office/drawing/2014/chart" uri="{C3380CC4-5D6E-409C-BE32-E72D297353CC}">
              <c16:uniqueId val="{00000007-39C2-E745-AA09-6DAB7667D816}"/>
            </c:ext>
          </c:extLst>
        </c:ser>
        <c:dLbls>
          <c:showLegendKey val="0"/>
          <c:showVal val="0"/>
          <c:showCatName val="0"/>
          <c:showSerName val="0"/>
          <c:showPercent val="0"/>
          <c:showBubbleSize val="0"/>
        </c:dLbls>
        <c:gapWidth val="219"/>
        <c:overlap val="-27"/>
        <c:axId val="1075456991"/>
        <c:axId val="1075441951"/>
      </c:barChart>
      <c:catAx>
        <c:axId val="1075456991"/>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NL"/>
          </a:p>
        </c:txPr>
        <c:crossAx val="1075441951"/>
        <c:crosses val="autoZero"/>
        <c:auto val="1"/>
        <c:lblAlgn val="ctr"/>
        <c:lblOffset val="100"/>
        <c:noMultiLvlLbl val="0"/>
      </c:catAx>
      <c:valAx>
        <c:axId val="10754419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CO2 abatement cost [€/t CO2]</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NL"/>
          </a:p>
        </c:txPr>
        <c:crossAx val="10754569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139700</xdr:colOff>
      <xdr:row>11</xdr:row>
      <xdr:rowOff>12700</xdr:rowOff>
    </xdr:from>
    <xdr:to>
      <xdr:col>18</xdr:col>
      <xdr:colOff>12700</xdr:colOff>
      <xdr:row>17</xdr:row>
      <xdr:rowOff>63500</xdr:rowOff>
    </xdr:to>
    <xdr:sp macro="" textlink="">
      <xdr:nvSpPr>
        <xdr:cNvPr id="2" name="TextBox 1">
          <a:extLst>
            <a:ext uri="{FF2B5EF4-FFF2-40B4-BE49-F238E27FC236}">
              <a16:creationId xmlns:a16="http://schemas.microsoft.com/office/drawing/2014/main" id="{4EB921DA-2AD2-A74B-95A5-F137FE30F763}"/>
            </a:ext>
          </a:extLst>
        </xdr:cNvPr>
        <xdr:cNvSpPr txBox="1"/>
      </xdr:nvSpPr>
      <xdr:spPr>
        <a:xfrm>
          <a:off x="2997200" y="9525000"/>
          <a:ext cx="12255500" cy="127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is an extended version of an Excel model developed by Kalavasta, originally for the Institute for Sustainable Process Technology to explore</a:t>
          </a:r>
          <a:r>
            <a:rPr lang="en-GB" sz="1100" baseline="0"/>
            <a:t> and compare CO2 abatement costs of various technologies in the context of the Dutch Climate Agreement. It has been validated with various industrial partners and used in various discussions, including joint fact finding sessions set up by the Ministry of Economic Affairs and Climate. In the latter session agreement was reached on the correctness and completeness of the method to calculate these hydrogen production - and consequently - CO2 abatement costs, whereas views differed on the values of some parameters used. We also encourage users to explore parameter sensitivites. </a:t>
          </a:r>
        </a:p>
        <a:p>
          <a:r>
            <a:rPr lang="en-GB" sz="1100" baseline="0"/>
            <a:t>For the project carried out for EBN on the hydrogen roll-out pathways by Berenschot and Kalavasta, Kalavasta updated this model to also include imported hydrogen in the comparison, feature three future years (2025, 2030 and 2035) and show the  hydrogen production costs and their 'onrendabele top' explicitly.</a:t>
          </a:r>
          <a:endParaRPr lang="en-GB" sz="1100"/>
        </a:p>
      </xdr:txBody>
    </xdr:sp>
    <xdr:clientData/>
  </xdr:twoCellAnchor>
  <xdr:twoCellAnchor>
    <xdr:from>
      <xdr:col>3</xdr:col>
      <xdr:colOff>101600</xdr:colOff>
      <xdr:row>38</xdr:row>
      <xdr:rowOff>38100</xdr:rowOff>
    </xdr:from>
    <xdr:to>
      <xdr:col>18</xdr:col>
      <xdr:colOff>38100</xdr:colOff>
      <xdr:row>43</xdr:row>
      <xdr:rowOff>152400</xdr:rowOff>
    </xdr:to>
    <xdr:sp macro="" textlink="">
      <xdr:nvSpPr>
        <xdr:cNvPr id="5" name="TextBox 4">
          <a:extLst>
            <a:ext uri="{FF2B5EF4-FFF2-40B4-BE49-F238E27FC236}">
              <a16:creationId xmlns:a16="http://schemas.microsoft.com/office/drawing/2014/main" id="{26967E71-4DB9-2540-B970-FCE1CEC22B16}"/>
            </a:ext>
          </a:extLst>
        </xdr:cNvPr>
        <xdr:cNvSpPr txBox="1"/>
      </xdr:nvSpPr>
      <xdr:spPr>
        <a:xfrm>
          <a:off x="2641600" y="7899400"/>
          <a:ext cx="12319000" cy="113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model considers a reference</a:t>
          </a:r>
          <a:r>
            <a:rPr lang="en-GB" sz="1100" baseline="0"/>
            <a:t> </a:t>
          </a:r>
          <a:r>
            <a:rPr lang="en-GB" sz="1100"/>
            <a:t>steam methane reforming plant (SMR, 'grey'</a:t>
          </a:r>
          <a:r>
            <a:rPr lang="en-GB" sz="1100" baseline="0"/>
            <a:t> hydrogen), the addition of carbon capture and storage (CCS) to that plant (SMR+CCS, 'blue' hydrogen), a new autothermal reformer with CCS (ATR, 'blue hydrogen'), alkaline electrolysis ('green' hydrogen), PEM electrolysis ('green' hydrogen). For electrolysis we consider both the cases where the electrolysis plant is situated in the Netherlands as well as when it is situated in Portugal and we import the hydrogen produced. </a:t>
          </a:r>
        </a:p>
        <a:p>
          <a:pPr marL="0" marR="0" lvl="0" indent="0" defTabSz="914400" eaLnBrk="1" fontAlgn="auto" latinLnBrk="0" hangingPunct="1">
            <a:lnSpc>
              <a:spcPct val="100000"/>
            </a:lnSpc>
            <a:spcBef>
              <a:spcPts val="0"/>
            </a:spcBef>
            <a:spcAft>
              <a:spcPts val="0"/>
            </a:spcAft>
            <a:buClrTx/>
            <a:buSzTx/>
            <a:buFontTx/>
            <a:buNone/>
            <a:tabLst/>
            <a:defRPr/>
          </a:pPr>
          <a:r>
            <a:rPr lang="en-GB" sz="1100"/>
            <a:t>The model includes capital, installation, financing, operational (fixed) and variable costs. Taxes are not included. We define CO2 abatement costs as (costs incurred in future operation - cost incurred in current operation) / (CO2 emissions in future operation - CO2 emissions in current operation), with future emissions &lt; current</a:t>
          </a:r>
        </a:p>
        <a:p>
          <a:endParaRPr lang="en-GB" sz="1100"/>
        </a:p>
      </xdr:txBody>
    </xdr:sp>
    <xdr:clientData/>
  </xdr:twoCellAnchor>
  <xdr:twoCellAnchor>
    <xdr:from>
      <xdr:col>3</xdr:col>
      <xdr:colOff>127000</xdr:colOff>
      <xdr:row>20</xdr:row>
      <xdr:rowOff>50800</xdr:rowOff>
    </xdr:from>
    <xdr:to>
      <xdr:col>18</xdr:col>
      <xdr:colOff>0</xdr:colOff>
      <xdr:row>26</xdr:row>
      <xdr:rowOff>101600</xdr:rowOff>
    </xdr:to>
    <xdr:sp macro="" textlink="">
      <xdr:nvSpPr>
        <xdr:cNvPr id="6" name="TextBox 5">
          <a:extLst>
            <a:ext uri="{FF2B5EF4-FFF2-40B4-BE49-F238E27FC236}">
              <a16:creationId xmlns:a16="http://schemas.microsoft.com/office/drawing/2014/main" id="{A4F7BEB2-E605-2C44-92BB-1F92C1414FBE}"/>
            </a:ext>
          </a:extLst>
        </xdr:cNvPr>
        <xdr:cNvSpPr txBox="1"/>
      </xdr:nvSpPr>
      <xdr:spPr>
        <a:xfrm>
          <a:off x="2603500" y="4051300"/>
          <a:ext cx="12255500" cy="127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model allows one</a:t>
          </a:r>
          <a:r>
            <a:rPr lang="en-GB" sz="1100" baseline="0"/>
            <a:t> to explore the hydrogen production costs of various technologies in 2025, 2030 and 2035. The difference in production cost between the reference production method (steam methane reforming (SMR, producing 'grey' hydrogen) and the cheapest production method with a lower emissions footprint constitutes the 'onrendabele top' on hydrogen production, expressed in €/t H2. If we multiply thie onrendabele top with the additional yearly hydrogen demand relative to 2020, we find the onrendabele top expressed on a yearly basis - which generally is different between 2025, 2030 and 2035. Furthermore, we can calculate the CO2 abatement costs of alternatives</a:t>
          </a:r>
        </a:p>
        <a:p>
          <a:r>
            <a:rPr lang="en-GB" sz="1100" baseline="0"/>
            <a:t>The motivation behind studying the onrendabele top is that it seems quite unlikely that industrial clusters would make use of a hydrogen backbone if every cluster can just produce all the hydrogen it needs, for the lowest costs, locally. </a:t>
          </a:r>
          <a:endParaRPr lang="en-GB" sz="1100"/>
        </a:p>
      </xdr:txBody>
    </xdr:sp>
    <xdr:clientData/>
  </xdr:twoCellAnchor>
  <xdr:twoCellAnchor>
    <xdr:from>
      <xdr:col>3</xdr:col>
      <xdr:colOff>114300</xdr:colOff>
      <xdr:row>29</xdr:row>
      <xdr:rowOff>25400</xdr:rowOff>
    </xdr:from>
    <xdr:to>
      <xdr:col>17</xdr:col>
      <xdr:colOff>812800</xdr:colOff>
      <xdr:row>35</xdr:row>
      <xdr:rowOff>76200</xdr:rowOff>
    </xdr:to>
    <xdr:sp macro="" textlink="">
      <xdr:nvSpPr>
        <xdr:cNvPr id="7" name="TextBox 6">
          <a:extLst>
            <a:ext uri="{FF2B5EF4-FFF2-40B4-BE49-F238E27FC236}">
              <a16:creationId xmlns:a16="http://schemas.microsoft.com/office/drawing/2014/main" id="{83462C27-6E67-7247-BDD2-8202EB66BA40}"/>
            </a:ext>
          </a:extLst>
        </xdr:cNvPr>
        <xdr:cNvSpPr txBox="1"/>
      </xdr:nvSpPr>
      <xdr:spPr>
        <a:xfrm>
          <a:off x="2654300" y="6057900"/>
          <a:ext cx="12255500" cy="127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Excel</a:t>
          </a:r>
          <a:r>
            <a:rPr lang="en-GB" sz="1100" baseline="0"/>
            <a:t> file consists of four sheets:</a:t>
          </a:r>
        </a:p>
        <a:p>
          <a:r>
            <a:rPr lang="en-GB" sz="1100" baseline="0"/>
            <a:t>	1. Overview - this sheet</a:t>
          </a:r>
        </a:p>
        <a:p>
          <a:r>
            <a:rPr lang="en-GB" sz="1100" baseline="0"/>
            <a:t>	2. User_interface - here the user can explore how the onrendabele top, hydrogen production costs and CO2 abatement costs may change as eg gas and electricity prices change. Technology-		specific parameters such as investment costs can also be changed; this can be done in the 'calculations' sheet. All cells with borders can be changed.</a:t>
          </a:r>
        </a:p>
        <a:p>
          <a:r>
            <a:rPr lang="en-GB" sz="1100" baseline="0"/>
            <a:t>	3. Calculations - in this sheet the model calculates the hydrogen production costs and CO2 abatement costs for each technology and each year</a:t>
          </a:r>
        </a:p>
        <a:p>
          <a:r>
            <a:rPr lang="en-GB" sz="1100" baseline="0"/>
            <a:t>	4. Sources - this includes the sources used to set the initial technology parameters</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196850</xdr:colOff>
      <xdr:row>1</xdr:row>
      <xdr:rowOff>76200</xdr:rowOff>
    </xdr:from>
    <xdr:to>
      <xdr:col>9</xdr:col>
      <xdr:colOff>749300</xdr:colOff>
      <xdr:row>21</xdr:row>
      <xdr:rowOff>63500</xdr:rowOff>
    </xdr:to>
    <xdr:graphicFrame macro="">
      <xdr:nvGraphicFramePr>
        <xdr:cNvPr id="2" name="Chart 1">
          <a:extLst>
            <a:ext uri="{FF2B5EF4-FFF2-40B4-BE49-F238E27FC236}">
              <a16:creationId xmlns:a16="http://schemas.microsoft.com/office/drawing/2014/main" id="{59C2D9B9-F729-2C4C-A62B-8BEBC279B2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88900</xdr:colOff>
      <xdr:row>1</xdr:row>
      <xdr:rowOff>76200</xdr:rowOff>
    </xdr:from>
    <xdr:to>
      <xdr:col>17</xdr:col>
      <xdr:colOff>641350</xdr:colOff>
      <xdr:row>21</xdr:row>
      <xdr:rowOff>63500</xdr:rowOff>
    </xdr:to>
    <xdr:graphicFrame macro="">
      <xdr:nvGraphicFramePr>
        <xdr:cNvPr id="3" name="Chart 2">
          <a:extLst>
            <a:ext uri="{FF2B5EF4-FFF2-40B4-BE49-F238E27FC236}">
              <a16:creationId xmlns:a16="http://schemas.microsoft.com/office/drawing/2014/main" id="{9CFF1E78-956E-F843-810F-AD789A0FF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25400</xdr:colOff>
      <xdr:row>72</xdr:row>
      <xdr:rowOff>190500</xdr:rowOff>
    </xdr:from>
    <xdr:to>
      <xdr:col>18</xdr:col>
      <xdr:colOff>12700</xdr:colOff>
      <xdr:row>93</xdr:row>
      <xdr:rowOff>76200</xdr:rowOff>
    </xdr:to>
    <xdr:sp macro="" textlink="">
      <xdr:nvSpPr>
        <xdr:cNvPr id="2" name="TextBox 1">
          <a:extLst>
            <a:ext uri="{FF2B5EF4-FFF2-40B4-BE49-F238E27FC236}">
              <a16:creationId xmlns:a16="http://schemas.microsoft.com/office/drawing/2014/main" id="{A2DA9CE9-CDEE-A749-AB62-6DB1D1C668FB}"/>
            </a:ext>
          </a:extLst>
        </xdr:cNvPr>
        <xdr:cNvSpPr txBox="1"/>
      </xdr:nvSpPr>
      <xdr:spPr>
        <a:xfrm>
          <a:off x="6502400" y="14884400"/>
          <a:ext cx="8242300" cy="415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Electrolysis</a:t>
          </a:r>
        </a:p>
        <a:p>
          <a:r>
            <a:rPr lang="en-US" sz="1100"/>
            <a:t>The electrolysis options have a few more parameters than other options.</a:t>
          </a:r>
          <a:r>
            <a:rPr lang="en-US" sz="1100" baseline="0"/>
            <a:t> First, this is because we the stack and balance of plant (BOP) have a different lifetime. The former is expressed as a number of operational hours, such that it lasts longer if it is used less. Siemens for instance issues a 80k hour lifetime warranty. The BOP lifetime is estimated at about 30 years. To calculated levelised investment costs, we replace the stack after its lifetime by simply buying a new stack until at the end of the BOP lifetime. ITM Power claims the stack makes up no more than 40% of current electrolyzer investment costs, and that this number is expected to decrease significantly. Siemens claims it constitutes about 15% of future electrolyzer investment costs (in 2030). Using this data, we can calculate the levelised investment costs over the total electrolyzer lifetime.</a:t>
          </a:r>
        </a:p>
        <a:p>
          <a:endParaRPr lang="en-US" sz="1100" baseline="0"/>
        </a:p>
        <a:p>
          <a:r>
            <a:rPr lang="en-US" sz="1100" b="1" baseline="0"/>
            <a:t>Revenue</a:t>
          </a:r>
        </a:p>
        <a:p>
          <a:r>
            <a:rPr lang="en-US" sz="1100" baseline="0"/>
            <a:t>Electrolysers also generate other kinds of revenue. Oxygen is a product of electrolysis, and is used extensively in the chemical and steel industries. It is for instance also used in the Waste2Chemicals project. This oxygen is sold against the production price of cryogenic air separation, the (steel) industry standard method of oxygen production. Secondly, electrolysers also offer the possibility to relieve the electricity grid at times when production exceeds demand. This capacity is valued somewhere between 50,000 to 100,000 €/MW/y. We have assumed a flexcapacity value of 50k€/MW/y for Alkaline electrolysis and 75k€/MW/y for PEM electrolysis, as it has faster response times. </a:t>
          </a:r>
        </a:p>
        <a:p>
          <a:r>
            <a:rPr lang="en-US" sz="1100" baseline="0"/>
            <a:t>An SMR generates a lot of heat, which in an integrated plant (like a refinery) could reduce gas consumption. Together with the VNPI we estimated avoided gas consumption - and using the user-set parameters on the gas price, the avoided costs.</a:t>
          </a:r>
        </a:p>
        <a:p>
          <a:endParaRPr lang="en-US" sz="1100" baseline="0"/>
        </a:p>
        <a:p>
          <a:r>
            <a:rPr lang="en-US" sz="1100" b="1" baseline="0"/>
            <a:t>Operation</a:t>
          </a:r>
        </a:p>
        <a:p>
          <a:r>
            <a:rPr lang="en-US" sz="1100" b="0"/>
            <a:t>In</a:t>
          </a:r>
          <a:r>
            <a:rPr lang="en-US" sz="1100" b="0" baseline="0"/>
            <a:t> the above case, an electrolyzer does not run continously, but for 6500 hours a year. In this way, the 2000+ hours with the most expensive electricity can be avoided, reducing the electricity price to about 75% of the average. This greatly reduces the hydrogen cost. Moreover, this allows the electrolyzers to offer the aformentioned flexcapacity, relieving the electricity grid, which generates additional revenue. Hence, is one changes any of these parameters (FLH, electricity price and flexcapacity availability), one should keep in mind their relation and change parameters accordingly - e.g. it is not possible to have continuous operation with a less than average electricity price.</a:t>
          </a:r>
          <a:endParaRPr lang="en-US" sz="11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fo@kalavasta.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CDC87-FA20-7B4C-8885-DBD997FC7131}">
  <dimension ref="A1:Y141"/>
  <sheetViews>
    <sheetView tabSelected="1" workbookViewId="0"/>
  </sheetViews>
  <sheetFormatPr baseColWidth="10" defaultRowHeight="16"/>
  <cols>
    <col min="3" max="3" width="11.6640625" customWidth="1"/>
  </cols>
  <sheetData>
    <row r="1" spans="1:25">
      <c r="A1" s="1"/>
      <c r="B1" s="1"/>
      <c r="C1" s="1"/>
      <c r="D1" s="1"/>
      <c r="E1" s="1"/>
      <c r="F1" s="1"/>
      <c r="G1" s="1"/>
      <c r="H1" s="1"/>
      <c r="I1" s="1"/>
      <c r="J1" s="1"/>
      <c r="K1" s="1"/>
      <c r="L1" s="1"/>
      <c r="M1" s="1"/>
      <c r="N1" s="1"/>
      <c r="O1" s="1"/>
      <c r="P1" s="1"/>
      <c r="Q1" s="1"/>
      <c r="R1" s="1"/>
      <c r="S1" s="1"/>
      <c r="T1" s="1"/>
      <c r="U1" s="1"/>
      <c r="V1" s="1"/>
      <c r="W1" s="1"/>
      <c r="X1" s="1"/>
      <c r="Y1" s="1"/>
    </row>
    <row r="2" spans="1:25">
      <c r="A2" s="1"/>
      <c r="B2" s="1"/>
      <c r="C2" s="1"/>
      <c r="D2" s="1"/>
      <c r="E2" s="1"/>
      <c r="F2" s="1"/>
      <c r="G2" s="1"/>
      <c r="H2" s="1"/>
      <c r="I2" s="1"/>
      <c r="J2" s="1"/>
      <c r="K2" s="1"/>
      <c r="L2" s="1"/>
      <c r="M2" s="1"/>
      <c r="N2" s="1"/>
      <c r="O2" s="1"/>
      <c r="P2" s="1"/>
      <c r="Q2" s="1"/>
      <c r="R2" s="1"/>
      <c r="S2" s="1"/>
      <c r="T2" s="1"/>
      <c r="U2" s="1"/>
      <c r="V2" s="1"/>
      <c r="W2" s="1"/>
      <c r="X2" s="1"/>
      <c r="Y2" s="1"/>
    </row>
    <row r="3" spans="1:25">
      <c r="A3" s="1"/>
      <c r="B3" s="1"/>
      <c r="C3" s="1"/>
      <c r="D3" s="1"/>
      <c r="E3" s="1"/>
      <c r="F3" s="1"/>
      <c r="G3" s="1"/>
      <c r="H3" s="1"/>
      <c r="I3" s="1"/>
      <c r="J3" s="1"/>
      <c r="K3" s="1"/>
      <c r="L3" s="1"/>
      <c r="M3" s="1"/>
      <c r="N3" s="1"/>
      <c r="O3" s="1"/>
      <c r="P3" s="1"/>
      <c r="Q3" s="1"/>
      <c r="R3" s="1"/>
      <c r="S3" s="1"/>
      <c r="T3" s="1"/>
      <c r="U3" s="1"/>
      <c r="V3" s="1"/>
      <c r="W3" s="1"/>
      <c r="X3" s="1"/>
      <c r="Y3" s="1"/>
    </row>
    <row r="4" spans="1:25" ht="21">
      <c r="A4" s="1"/>
      <c r="B4" s="35" t="s">
        <v>147</v>
      </c>
      <c r="C4" s="1"/>
      <c r="D4" s="1"/>
      <c r="E4" s="1"/>
      <c r="F4" s="1"/>
      <c r="G4" s="1"/>
      <c r="H4" s="1"/>
      <c r="I4" s="1"/>
      <c r="J4" s="1"/>
      <c r="K4" s="1"/>
      <c r="L4" s="1"/>
      <c r="M4" s="1"/>
      <c r="N4" s="1"/>
      <c r="O4" s="1"/>
      <c r="P4" s="1"/>
      <c r="Q4" s="1"/>
      <c r="R4" s="1"/>
      <c r="S4" s="1"/>
      <c r="T4" s="1"/>
      <c r="U4" s="1"/>
      <c r="V4" s="1"/>
      <c r="W4" s="1"/>
      <c r="X4" s="1"/>
      <c r="Y4" s="1"/>
    </row>
    <row r="5" spans="1:25" ht="19">
      <c r="A5" s="1"/>
      <c r="B5" s="1"/>
      <c r="C5" s="1"/>
      <c r="D5" s="33" t="s">
        <v>148</v>
      </c>
      <c r="E5" s="1"/>
      <c r="F5" s="1"/>
      <c r="G5" s="1"/>
      <c r="H5" s="1"/>
      <c r="I5" s="1"/>
      <c r="J5" s="1"/>
      <c r="K5" s="1"/>
      <c r="L5" s="1"/>
      <c r="M5" s="1"/>
      <c r="N5" s="1"/>
      <c r="O5" s="1"/>
      <c r="P5" s="1"/>
      <c r="Q5" s="1"/>
      <c r="R5" s="1"/>
      <c r="S5" s="1"/>
      <c r="T5" s="1"/>
      <c r="U5" s="1"/>
      <c r="V5" s="1"/>
      <c r="W5" s="1"/>
      <c r="X5" s="1"/>
      <c r="Y5" s="1"/>
    </row>
    <row r="6" spans="1:25" ht="19">
      <c r="A6" s="1"/>
      <c r="B6" s="1"/>
      <c r="C6" s="1"/>
      <c r="D6" s="38"/>
      <c r="E6" s="1"/>
      <c r="F6" s="1"/>
      <c r="G6" s="1"/>
      <c r="H6" s="1"/>
      <c r="I6" s="1"/>
      <c r="J6" s="1"/>
      <c r="K6" s="1"/>
      <c r="L6" s="1"/>
      <c r="M6" s="1"/>
      <c r="N6" s="1"/>
      <c r="O6" s="1"/>
      <c r="P6" s="1"/>
      <c r="Q6" s="1"/>
      <c r="R6" s="1"/>
      <c r="S6" s="1"/>
      <c r="T6" s="1"/>
      <c r="U6" s="1"/>
      <c r="V6" s="1"/>
      <c r="W6" s="1"/>
      <c r="X6" s="1"/>
      <c r="Y6" s="1"/>
    </row>
    <row r="7" spans="1:25">
      <c r="A7" s="1"/>
      <c r="B7" s="1"/>
      <c r="C7" s="1"/>
      <c r="D7" s="1" t="s">
        <v>151</v>
      </c>
      <c r="E7" s="1" t="s">
        <v>152</v>
      </c>
      <c r="F7" s="39" t="s">
        <v>153</v>
      </c>
      <c r="G7" s="1"/>
      <c r="H7" s="1"/>
      <c r="I7" s="1"/>
      <c r="J7" s="1"/>
      <c r="K7" s="1"/>
      <c r="L7" s="1"/>
      <c r="M7" s="1"/>
      <c r="N7" s="1"/>
      <c r="O7" s="1"/>
      <c r="P7" s="1"/>
      <c r="Q7" s="1"/>
      <c r="R7" s="1"/>
      <c r="S7" s="1"/>
      <c r="T7" s="1"/>
      <c r="U7" s="1"/>
      <c r="V7" s="1"/>
      <c r="W7" s="1"/>
      <c r="X7" s="1"/>
      <c r="Y7" s="1"/>
    </row>
    <row r="8" spans="1:25">
      <c r="A8" s="1"/>
      <c r="B8" s="1"/>
      <c r="C8" s="1"/>
      <c r="D8" s="1" t="s">
        <v>149</v>
      </c>
      <c r="E8" s="1" t="s">
        <v>150</v>
      </c>
      <c r="F8" s="40" t="s">
        <v>154</v>
      </c>
      <c r="G8" s="1"/>
      <c r="H8" s="1"/>
      <c r="I8" s="1"/>
      <c r="J8" s="1"/>
      <c r="K8" s="1"/>
      <c r="L8" s="1"/>
      <c r="M8" s="1"/>
      <c r="N8" s="1"/>
      <c r="O8" s="1"/>
      <c r="P8" s="1"/>
      <c r="Q8" s="1"/>
      <c r="R8" s="1"/>
      <c r="S8" s="1"/>
      <c r="T8" s="1"/>
      <c r="U8" s="1"/>
      <c r="V8" s="1"/>
      <c r="W8" s="1"/>
      <c r="X8" s="1"/>
      <c r="Y8" s="1"/>
    </row>
    <row r="9" spans="1:25">
      <c r="A9" s="1"/>
      <c r="B9" s="1"/>
      <c r="C9" s="1"/>
      <c r="D9" s="1"/>
      <c r="E9" s="1"/>
      <c r="F9" s="1"/>
      <c r="G9" s="1"/>
      <c r="H9" s="1"/>
      <c r="I9" s="1"/>
      <c r="J9" s="1"/>
      <c r="K9" s="1"/>
      <c r="L9" s="1"/>
      <c r="M9" s="1"/>
      <c r="N9" s="1"/>
      <c r="O9" s="1"/>
      <c r="P9" s="1"/>
      <c r="Q9" s="1"/>
      <c r="R9" s="1"/>
      <c r="S9" s="1"/>
      <c r="T9" s="1"/>
      <c r="U9" s="1"/>
      <c r="V9" s="1"/>
      <c r="W9" s="1"/>
      <c r="X9" s="1"/>
      <c r="Y9" s="1"/>
    </row>
    <row r="10" spans="1:25">
      <c r="A10" s="1"/>
      <c r="B10" s="1"/>
      <c r="C10" s="1"/>
      <c r="D10" s="1"/>
      <c r="E10" s="1"/>
      <c r="F10" s="1"/>
      <c r="G10" s="1"/>
      <c r="H10" s="1"/>
      <c r="I10" s="1"/>
      <c r="J10" s="1"/>
      <c r="K10" s="1"/>
      <c r="L10" s="1"/>
      <c r="M10" s="1"/>
      <c r="N10" s="1"/>
      <c r="O10" s="1"/>
      <c r="P10" s="1"/>
      <c r="Q10" s="1"/>
      <c r="R10" s="1"/>
      <c r="S10" s="1"/>
      <c r="T10" s="1"/>
      <c r="U10" s="1"/>
      <c r="V10" s="1"/>
      <c r="W10" s="1"/>
      <c r="X10" s="1"/>
      <c r="Y10" s="1"/>
    </row>
    <row r="11" spans="1:25">
      <c r="A11" s="1"/>
      <c r="B11" s="1"/>
      <c r="C11" s="4" t="s">
        <v>112</v>
      </c>
      <c r="D11" s="1"/>
      <c r="E11" s="1"/>
      <c r="F11" s="1"/>
      <c r="G11" s="1"/>
      <c r="H11" s="1"/>
      <c r="I11" s="1"/>
      <c r="J11" s="1"/>
      <c r="K11" s="1"/>
      <c r="L11" s="1"/>
      <c r="M11" s="1"/>
      <c r="N11" s="1"/>
      <c r="O11" s="1"/>
      <c r="P11" s="1"/>
      <c r="Q11" s="1"/>
      <c r="R11" s="1"/>
      <c r="S11" s="1"/>
      <c r="T11" s="1"/>
      <c r="U11" s="1"/>
      <c r="V11" s="1"/>
      <c r="W11" s="1"/>
      <c r="X11" s="1"/>
      <c r="Y11" s="1"/>
    </row>
    <row r="12" spans="1:25">
      <c r="A12" s="1"/>
      <c r="B12" s="1"/>
      <c r="C12" s="1"/>
      <c r="D12" s="1"/>
      <c r="E12" s="1"/>
      <c r="F12" s="1"/>
      <c r="G12" s="1"/>
      <c r="H12" s="1"/>
      <c r="I12" s="1"/>
      <c r="J12" s="1"/>
      <c r="K12" s="1"/>
      <c r="L12" s="1"/>
      <c r="M12" s="1"/>
      <c r="N12" s="1"/>
      <c r="O12" s="1"/>
      <c r="P12" s="1"/>
      <c r="Q12" s="1"/>
      <c r="R12" s="1"/>
      <c r="S12" s="1"/>
      <c r="T12" s="1"/>
      <c r="U12" s="1"/>
      <c r="V12" s="1"/>
      <c r="W12" s="1"/>
      <c r="X12" s="1"/>
      <c r="Y12" s="1"/>
    </row>
    <row r="13" spans="1:25">
      <c r="A13" s="1"/>
      <c r="B13" s="1"/>
      <c r="C13" s="1"/>
      <c r="D13" s="1"/>
      <c r="E13" s="1"/>
      <c r="F13" s="1"/>
      <c r="G13" s="1"/>
      <c r="H13" s="1"/>
      <c r="I13" s="1"/>
      <c r="J13" s="1"/>
      <c r="K13" s="1"/>
      <c r="L13" s="1"/>
      <c r="M13" s="1"/>
      <c r="N13" s="1"/>
      <c r="O13" s="1"/>
      <c r="P13" s="1"/>
      <c r="Q13" s="1"/>
      <c r="R13" s="1"/>
      <c r="S13" s="1"/>
      <c r="T13" s="1"/>
      <c r="U13" s="1"/>
      <c r="V13" s="1"/>
      <c r="W13" s="1"/>
      <c r="X13" s="1"/>
      <c r="Y13" s="1"/>
    </row>
    <row r="14" spans="1:25">
      <c r="A14" s="1"/>
      <c r="B14" s="1"/>
      <c r="C14" s="1"/>
      <c r="D14" s="1"/>
      <c r="E14" s="1"/>
      <c r="F14" s="1"/>
      <c r="G14" s="1"/>
      <c r="H14" s="1"/>
      <c r="I14" s="1"/>
      <c r="J14" s="1"/>
      <c r="K14" s="1"/>
      <c r="L14" s="1"/>
      <c r="M14" s="1"/>
      <c r="N14" s="1"/>
      <c r="O14" s="1"/>
      <c r="P14" s="1"/>
      <c r="Q14" s="1"/>
      <c r="R14" s="1"/>
      <c r="S14" s="1"/>
      <c r="T14" s="1"/>
      <c r="U14" s="1"/>
      <c r="V14" s="1"/>
      <c r="W14" s="1"/>
      <c r="X14" s="1"/>
      <c r="Y14" s="1"/>
    </row>
    <row r="15" spans="1:25">
      <c r="A15" s="1"/>
      <c r="B15" s="1"/>
      <c r="C15" s="1"/>
      <c r="D15" s="1"/>
      <c r="E15" s="1"/>
      <c r="F15" s="1"/>
      <c r="G15" s="1"/>
      <c r="H15" s="1"/>
      <c r="I15" s="1"/>
      <c r="J15" s="1"/>
      <c r="K15" s="1"/>
      <c r="L15" s="1"/>
      <c r="M15" s="1"/>
      <c r="N15" s="1"/>
      <c r="O15" s="1"/>
      <c r="P15" s="1"/>
      <c r="Q15" s="1"/>
      <c r="R15" s="1"/>
      <c r="S15" s="1"/>
      <c r="T15" s="1"/>
      <c r="U15" s="1"/>
      <c r="V15" s="1"/>
      <c r="W15" s="1"/>
      <c r="X15" s="1"/>
      <c r="Y15" s="1"/>
    </row>
    <row r="16" spans="1:25">
      <c r="A16" s="1"/>
      <c r="B16" s="1"/>
      <c r="C16" s="1"/>
      <c r="D16" s="1"/>
      <c r="E16" s="1"/>
      <c r="F16" s="1"/>
      <c r="G16" s="1"/>
      <c r="H16" s="1"/>
      <c r="I16" s="1"/>
      <c r="J16" s="1"/>
      <c r="K16" s="1"/>
      <c r="L16" s="1"/>
      <c r="M16" s="1"/>
      <c r="N16" s="1"/>
      <c r="O16" s="1"/>
      <c r="P16" s="1"/>
      <c r="Q16" s="1"/>
      <c r="R16" s="1"/>
      <c r="S16" s="1"/>
      <c r="T16" s="1"/>
      <c r="U16" s="1"/>
      <c r="V16" s="1"/>
      <c r="W16" s="1"/>
      <c r="X16" s="1"/>
      <c r="Y16" s="1"/>
    </row>
    <row r="17" spans="1:25">
      <c r="A17" s="1"/>
      <c r="B17" s="1"/>
      <c r="C17" s="1"/>
      <c r="D17" s="1"/>
      <c r="E17" s="1"/>
      <c r="F17" s="1"/>
      <c r="G17" s="1"/>
      <c r="H17" s="1"/>
      <c r="I17" s="1"/>
      <c r="J17" s="1"/>
      <c r="K17" s="1"/>
      <c r="L17" s="1"/>
      <c r="M17" s="1"/>
      <c r="N17" s="1"/>
      <c r="O17" s="1"/>
      <c r="P17" s="1"/>
      <c r="Q17" s="1"/>
      <c r="R17" s="1"/>
      <c r="S17" s="1"/>
      <c r="T17" s="1"/>
      <c r="U17" s="1"/>
      <c r="V17" s="1"/>
      <c r="W17" s="1"/>
      <c r="X17" s="1"/>
      <c r="Y17" s="1"/>
    </row>
    <row r="18" spans="1:25">
      <c r="A18" s="1"/>
      <c r="B18" s="1"/>
      <c r="C18" s="1"/>
      <c r="D18" s="1"/>
      <c r="E18" s="1"/>
      <c r="F18" s="1"/>
      <c r="G18" s="1"/>
      <c r="H18" s="1"/>
      <c r="I18" s="1"/>
      <c r="J18" s="1"/>
      <c r="K18" s="1"/>
      <c r="L18" s="1"/>
      <c r="M18" s="1"/>
      <c r="N18" s="1"/>
      <c r="O18" s="1"/>
      <c r="P18" s="1"/>
      <c r="Q18" s="1"/>
      <c r="R18" s="1"/>
      <c r="S18" s="1"/>
      <c r="T18" s="1"/>
      <c r="U18" s="1"/>
      <c r="V18" s="1"/>
      <c r="W18" s="1"/>
      <c r="X18" s="1"/>
      <c r="Y18" s="1"/>
    </row>
    <row r="19" spans="1:25">
      <c r="A19" s="1"/>
      <c r="B19" s="1"/>
      <c r="C19" s="1"/>
      <c r="D19" s="1"/>
      <c r="E19" s="1"/>
      <c r="F19" s="1"/>
      <c r="G19" s="1"/>
      <c r="H19" s="1"/>
      <c r="I19" s="1"/>
      <c r="J19" s="1"/>
      <c r="K19" s="1"/>
      <c r="L19" s="1"/>
      <c r="M19" s="1"/>
      <c r="N19" s="1"/>
      <c r="O19" s="1"/>
      <c r="P19" s="1"/>
      <c r="Q19" s="1"/>
      <c r="R19" s="1"/>
      <c r="S19" s="1"/>
      <c r="T19" s="1"/>
      <c r="U19" s="1"/>
      <c r="V19" s="1"/>
      <c r="W19" s="1"/>
      <c r="X19" s="1"/>
      <c r="Y19" s="1"/>
    </row>
    <row r="20" spans="1:25">
      <c r="A20" s="1"/>
      <c r="B20" s="1"/>
      <c r="C20" s="4" t="s">
        <v>113</v>
      </c>
      <c r="D20" s="1"/>
      <c r="E20" s="1"/>
      <c r="F20" s="1"/>
      <c r="G20" s="1"/>
      <c r="H20" s="1"/>
      <c r="I20" s="1"/>
      <c r="J20" s="1"/>
      <c r="K20" s="1"/>
      <c r="L20" s="1"/>
      <c r="M20" s="1"/>
      <c r="N20" s="1"/>
      <c r="O20" s="1"/>
      <c r="P20" s="1"/>
      <c r="Q20" s="1"/>
      <c r="R20" s="1"/>
      <c r="S20" s="1"/>
      <c r="T20" s="1"/>
      <c r="U20" s="1"/>
      <c r="V20" s="1"/>
      <c r="W20" s="1"/>
      <c r="X20" s="1"/>
      <c r="Y20" s="1"/>
    </row>
    <row r="21" spans="1:25">
      <c r="A21" s="1"/>
      <c r="B21" s="1"/>
      <c r="C21" s="1"/>
      <c r="D21" s="1"/>
      <c r="E21" s="1"/>
      <c r="F21" s="1"/>
      <c r="G21" s="1"/>
      <c r="H21" s="1"/>
      <c r="I21" s="1"/>
      <c r="J21" s="1"/>
      <c r="K21" s="1"/>
      <c r="L21" s="1"/>
      <c r="M21" s="1"/>
      <c r="N21" s="1"/>
      <c r="O21" s="1"/>
      <c r="P21" s="1"/>
      <c r="Q21" s="1"/>
      <c r="R21" s="1"/>
      <c r="S21" s="1"/>
      <c r="T21" s="1"/>
      <c r="U21" s="1"/>
      <c r="V21" s="1"/>
      <c r="W21" s="1"/>
      <c r="X21" s="1"/>
      <c r="Y21" s="1"/>
    </row>
    <row r="22" spans="1:25">
      <c r="A22" s="1"/>
      <c r="B22" s="1"/>
      <c r="C22" s="1"/>
      <c r="D22" s="1"/>
      <c r="E22" s="1"/>
      <c r="F22" s="1"/>
      <c r="G22" s="1"/>
      <c r="H22" s="1"/>
      <c r="I22" s="1"/>
      <c r="J22" s="1"/>
      <c r="K22" s="1"/>
      <c r="L22" s="1"/>
      <c r="M22" s="1"/>
      <c r="N22" s="1"/>
      <c r="O22" s="1"/>
      <c r="P22" s="1"/>
      <c r="Q22" s="1"/>
      <c r="R22" s="1"/>
      <c r="S22" s="1"/>
      <c r="T22" s="1"/>
      <c r="U22" s="1"/>
      <c r="V22" s="1"/>
      <c r="W22" s="1"/>
      <c r="X22" s="1"/>
      <c r="Y22" s="1"/>
    </row>
    <row r="23" spans="1:25">
      <c r="A23" s="1"/>
      <c r="B23" s="1"/>
      <c r="C23" s="1"/>
      <c r="D23" s="1"/>
      <c r="E23" s="1"/>
      <c r="F23" s="1"/>
      <c r="G23" s="1"/>
      <c r="H23" s="1"/>
      <c r="I23" s="1"/>
      <c r="J23" s="1"/>
      <c r="K23" s="1"/>
      <c r="L23" s="1"/>
      <c r="M23" s="1"/>
      <c r="N23" s="1"/>
      <c r="O23" s="1"/>
      <c r="P23" s="1"/>
      <c r="Q23" s="1"/>
      <c r="R23" s="1"/>
      <c r="S23" s="1"/>
      <c r="T23" s="1"/>
      <c r="U23" s="1"/>
      <c r="V23" s="1"/>
      <c r="W23" s="1"/>
      <c r="X23" s="1"/>
      <c r="Y23" s="1"/>
    </row>
    <row r="24" spans="1:25">
      <c r="A24" s="1"/>
      <c r="B24" s="1"/>
      <c r="C24" s="1"/>
      <c r="D24" s="1"/>
      <c r="E24" s="1"/>
      <c r="F24" s="1"/>
      <c r="G24" s="1"/>
      <c r="H24" s="1"/>
      <c r="I24" s="1"/>
      <c r="J24" s="1"/>
      <c r="K24" s="1"/>
      <c r="L24" s="1"/>
      <c r="M24" s="1"/>
      <c r="N24" s="1"/>
      <c r="O24" s="1"/>
      <c r="P24" s="1"/>
      <c r="Q24" s="1"/>
      <c r="R24" s="1"/>
      <c r="S24" s="1"/>
      <c r="T24" s="1"/>
      <c r="U24" s="1"/>
      <c r="V24" s="1"/>
      <c r="W24" s="1"/>
      <c r="X24" s="1"/>
      <c r="Y24" s="1"/>
    </row>
    <row r="25" spans="1:25">
      <c r="A25" s="1"/>
      <c r="B25" s="1"/>
      <c r="C25" s="1"/>
      <c r="D25" s="1"/>
      <c r="E25" s="1"/>
      <c r="F25" s="1"/>
      <c r="G25" s="1"/>
      <c r="H25" s="1"/>
      <c r="I25" s="1"/>
      <c r="J25" s="1"/>
      <c r="K25" s="1"/>
      <c r="L25" s="1"/>
      <c r="M25" s="1"/>
      <c r="N25" s="1"/>
      <c r="O25" s="1"/>
      <c r="P25" s="1"/>
      <c r="Q25" s="1"/>
      <c r="R25" s="1"/>
      <c r="S25" s="1"/>
      <c r="T25" s="1"/>
      <c r="U25" s="1"/>
      <c r="V25" s="1"/>
      <c r="W25" s="1"/>
      <c r="X25" s="1"/>
      <c r="Y25" s="1"/>
    </row>
    <row r="26" spans="1:25">
      <c r="A26" s="1"/>
      <c r="B26" s="1"/>
      <c r="C26" s="1"/>
      <c r="D26" s="1"/>
      <c r="E26" s="1"/>
      <c r="F26" s="1"/>
      <c r="G26" s="1"/>
      <c r="H26" s="1"/>
      <c r="I26" s="1"/>
      <c r="J26" s="1"/>
      <c r="K26" s="1"/>
      <c r="L26" s="1"/>
      <c r="M26" s="1"/>
      <c r="N26" s="1"/>
      <c r="O26" s="1"/>
      <c r="P26" s="1"/>
      <c r="Q26" s="1"/>
      <c r="R26" s="1"/>
      <c r="S26" s="1"/>
      <c r="T26" s="1"/>
      <c r="U26" s="1"/>
      <c r="V26" s="1"/>
      <c r="W26" s="1"/>
      <c r="X26" s="1"/>
      <c r="Y26" s="1"/>
    </row>
    <row r="27" spans="1:25">
      <c r="A27" s="1"/>
      <c r="B27" s="1"/>
      <c r="C27" s="1"/>
      <c r="D27" s="1"/>
      <c r="E27" s="1"/>
      <c r="F27" s="1"/>
      <c r="G27" s="1"/>
      <c r="H27" s="1"/>
      <c r="I27" s="1"/>
      <c r="J27" s="1"/>
      <c r="K27" s="1"/>
      <c r="L27" s="1"/>
      <c r="M27" s="1"/>
      <c r="N27" s="1"/>
      <c r="O27" s="1"/>
      <c r="P27" s="1"/>
      <c r="Q27" s="1"/>
      <c r="R27" s="1"/>
      <c r="S27" s="1"/>
      <c r="T27" s="1"/>
      <c r="U27" s="1"/>
      <c r="V27" s="1"/>
      <c r="W27" s="1"/>
      <c r="X27" s="1"/>
      <c r="Y27" s="1"/>
    </row>
    <row r="28" spans="1:25">
      <c r="A28" s="1"/>
      <c r="B28" s="1"/>
      <c r="C28" s="1"/>
      <c r="D28" s="1"/>
      <c r="E28" s="1"/>
      <c r="F28" s="1"/>
      <c r="G28" s="1"/>
      <c r="H28" s="1"/>
      <c r="I28" s="1"/>
      <c r="J28" s="1"/>
      <c r="K28" s="1"/>
      <c r="L28" s="1"/>
      <c r="M28" s="1"/>
      <c r="N28" s="1"/>
      <c r="O28" s="1"/>
      <c r="P28" s="1"/>
      <c r="Q28" s="1"/>
      <c r="R28" s="1"/>
      <c r="S28" s="1"/>
      <c r="T28" s="1"/>
      <c r="U28" s="1"/>
      <c r="V28" s="1"/>
      <c r="W28" s="1"/>
      <c r="X28" s="1"/>
      <c r="Y28" s="1"/>
    </row>
    <row r="29" spans="1:25">
      <c r="A29" s="1"/>
      <c r="B29" s="1"/>
      <c r="C29" s="4" t="s">
        <v>146</v>
      </c>
      <c r="D29" s="1"/>
      <c r="E29" s="1"/>
      <c r="F29" s="1"/>
      <c r="G29" s="1"/>
      <c r="H29" s="1"/>
      <c r="I29" s="1"/>
      <c r="J29" s="1"/>
      <c r="K29" s="1"/>
      <c r="L29" s="1"/>
      <c r="M29" s="1"/>
      <c r="N29" s="1"/>
      <c r="O29" s="1"/>
      <c r="P29" s="1"/>
      <c r="Q29" s="1"/>
      <c r="R29" s="1"/>
      <c r="S29" s="1"/>
      <c r="T29" s="1"/>
      <c r="U29" s="1"/>
      <c r="V29" s="1"/>
      <c r="W29" s="1"/>
      <c r="X29" s="1"/>
      <c r="Y29" s="1"/>
    </row>
    <row r="30" spans="1:25">
      <c r="A30" s="1"/>
      <c r="B30" s="1"/>
      <c r="C30" s="1"/>
      <c r="D30" s="1"/>
      <c r="E30" s="1"/>
      <c r="F30" s="1"/>
      <c r="G30" s="1"/>
      <c r="H30" s="1"/>
      <c r="I30" s="1"/>
      <c r="J30" s="1"/>
      <c r="K30" s="1"/>
      <c r="L30" s="1"/>
      <c r="M30" s="1"/>
      <c r="N30" s="1"/>
      <c r="O30" s="1"/>
      <c r="P30" s="1"/>
      <c r="Q30" s="1"/>
      <c r="R30" s="1"/>
      <c r="S30" s="1"/>
      <c r="T30" s="1"/>
      <c r="U30" s="1"/>
      <c r="V30" s="1"/>
      <c r="W30" s="1"/>
      <c r="X30" s="1"/>
      <c r="Y30" s="1"/>
    </row>
    <row r="31" spans="1:25">
      <c r="A31" s="1"/>
      <c r="B31" s="1"/>
      <c r="C31" s="1"/>
      <c r="D31" s="1"/>
      <c r="E31" s="1"/>
      <c r="F31" s="1"/>
      <c r="G31" s="1"/>
      <c r="H31" s="1"/>
      <c r="I31" s="1"/>
      <c r="J31" s="1"/>
      <c r="K31" s="1"/>
      <c r="L31" s="1"/>
      <c r="M31" s="1"/>
      <c r="N31" s="1"/>
      <c r="O31" s="1"/>
      <c r="P31" s="1"/>
      <c r="Q31" s="1"/>
      <c r="R31" s="1"/>
      <c r="S31" s="1"/>
      <c r="T31" s="1"/>
      <c r="U31" s="1"/>
      <c r="V31" s="1"/>
      <c r="W31" s="1"/>
      <c r="X31" s="1"/>
      <c r="Y31" s="1"/>
    </row>
    <row r="32" spans="1:25">
      <c r="A32" s="1"/>
      <c r="B32" s="1"/>
      <c r="C32" s="1"/>
      <c r="D32" s="1"/>
      <c r="E32" s="1"/>
      <c r="F32" s="1"/>
      <c r="G32" s="1"/>
      <c r="H32" s="1"/>
      <c r="I32" s="1"/>
      <c r="J32" s="1"/>
      <c r="K32" s="1"/>
      <c r="L32" s="1"/>
      <c r="M32" s="1"/>
      <c r="N32" s="1"/>
      <c r="O32" s="1"/>
      <c r="P32" s="1"/>
      <c r="Q32" s="1"/>
      <c r="R32" s="1"/>
      <c r="S32" s="1"/>
      <c r="T32" s="1"/>
      <c r="U32" s="1"/>
      <c r="V32" s="1"/>
      <c r="W32" s="1"/>
      <c r="X32" s="1"/>
      <c r="Y32" s="1"/>
    </row>
    <row r="33" spans="1:25">
      <c r="A33" s="1"/>
      <c r="B33" s="1"/>
      <c r="C33" s="1"/>
      <c r="D33" s="1"/>
      <c r="E33" s="1"/>
      <c r="F33" s="1"/>
      <c r="G33" s="1"/>
      <c r="H33" s="1"/>
      <c r="I33" s="1"/>
      <c r="J33" s="1"/>
      <c r="K33" s="1"/>
      <c r="L33" s="1"/>
      <c r="M33" s="1"/>
      <c r="N33" s="1"/>
      <c r="O33" s="1"/>
      <c r="P33" s="1"/>
      <c r="Q33" s="1"/>
      <c r="R33" s="1"/>
      <c r="S33" s="1"/>
      <c r="T33" s="1"/>
      <c r="U33" s="1"/>
      <c r="V33" s="1"/>
      <c r="W33" s="1"/>
      <c r="X33" s="1"/>
      <c r="Y33" s="1"/>
    </row>
    <row r="34" spans="1:25">
      <c r="A34" s="1"/>
      <c r="B34" s="1"/>
      <c r="C34" s="1"/>
      <c r="D34" s="1"/>
      <c r="E34" s="1"/>
      <c r="F34" s="1"/>
      <c r="G34" s="1"/>
      <c r="H34" s="1"/>
      <c r="I34" s="1"/>
      <c r="J34" s="1"/>
      <c r="K34" s="1"/>
      <c r="L34" s="1"/>
      <c r="M34" s="1"/>
      <c r="N34" s="1"/>
      <c r="O34" s="1"/>
      <c r="P34" s="1"/>
      <c r="Q34" s="1"/>
      <c r="R34" s="1"/>
      <c r="S34" s="1"/>
      <c r="T34" s="1"/>
      <c r="U34" s="1"/>
      <c r="V34" s="1"/>
      <c r="W34" s="1"/>
      <c r="X34" s="1"/>
      <c r="Y34" s="1"/>
    </row>
    <row r="35" spans="1:25">
      <c r="A35" s="1"/>
      <c r="B35" s="1"/>
      <c r="C35" s="1"/>
      <c r="D35" s="1"/>
      <c r="E35" s="1"/>
      <c r="F35" s="1"/>
      <c r="G35" s="1"/>
      <c r="H35" s="1"/>
      <c r="I35" s="1"/>
      <c r="J35" s="1"/>
      <c r="K35" s="1"/>
      <c r="L35" s="1"/>
      <c r="M35" s="1"/>
      <c r="N35" s="1"/>
      <c r="O35" s="1"/>
      <c r="P35" s="1"/>
      <c r="Q35" s="1"/>
      <c r="R35" s="1"/>
      <c r="S35" s="1"/>
      <c r="T35" s="1"/>
      <c r="U35" s="1"/>
      <c r="V35" s="1"/>
      <c r="W35" s="1"/>
      <c r="X35" s="1"/>
      <c r="Y35" s="1"/>
    </row>
    <row r="36" spans="1:25">
      <c r="A36" s="1"/>
      <c r="B36" s="1"/>
      <c r="C36" s="1"/>
      <c r="D36" s="1"/>
      <c r="E36" s="1"/>
      <c r="F36" s="1"/>
      <c r="G36" s="1"/>
      <c r="H36" s="1"/>
      <c r="I36" s="1"/>
      <c r="J36" s="1"/>
      <c r="K36" s="1"/>
      <c r="L36" s="1"/>
      <c r="M36" s="1"/>
      <c r="N36" s="1"/>
      <c r="O36" s="1"/>
      <c r="P36" s="1"/>
      <c r="Q36" s="1"/>
      <c r="R36" s="1"/>
      <c r="S36" s="1"/>
      <c r="T36" s="1"/>
      <c r="U36" s="1"/>
      <c r="V36" s="1"/>
      <c r="W36" s="1"/>
      <c r="X36" s="1"/>
      <c r="Y36" s="1"/>
    </row>
    <row r="37" spans="1:25">
      <c r="A37" s="1"/>
      <c r="B37" s="1"/>
      <c r="C37" s="1"/>
      <c r="D37" s="1"/>
      <c r="E37" s="1"/>
      <c r="F37" s="1"/>
      <c r="G37" s="1"/>
      <c r="H37" s="1"/>
      <c r="I37" s="1"/>
      <c r="J37" s="1"/>
      <c r="K37" s="1"/>
      <c r="L37" s="1"/>
      <c r="M37" s="1"/>
      <c r="N37" s="1"/>
      <c r="O37" s="1"/>
      <c r="P37" s="1"/>
      <c r="Q37" s="1"/>
      <c r="R37" s="1"/>
      <c r="S37" s="1"/>
      <c r="T37" s="1"/>
      <c r="U37" s="1"/>
      <c r="V37" s="1"/>
      <c r="W37" s="1"/>
      <c r="X37" s="1"/>
      <c r="Y37" s="1"/>
    </row>
    <row r="38" spans="1:25">
      <c r="A38" s="1"/>
      <c r="B38" s="1"/>
      <c r="C38" s="4" t="s">
        <v>145</v>
      </c>
      <c r="D38" s="1"/>
      <c r="E38" s="1"/>
      <c r="F38" s="1"/>
      <c r="G38" s="1"/>
      <c r="H38" s="1"/>
      <c r="I38" s="1"/>
      <c r="J38" s="1"/>
      <c r="K38" s="1"/>
      <c r="L38" s="1"/>
      <c r="M38" s="1"/>
      <c r="N38" s="1"/>
      <c r="O38" s="1"/>
      <c r="P38" s="1"/>
      <c r="Q38" s="1"/>
      <c r="R38" s="1"/>
      <c r="S38" s="1"/>
      <c r="T38" s="1"/>
      <c r="U38" s="1"/>
      <c r="V38" s="1"/>
      <c r="W38" s="1"/>
      <c r="X38" s="1"/>
      <c r="Y38" s="1"/>
    </row>
    <row r="39" spans="1:25">
      <c r="A39" s="1"/>
      <c r="B39" s="1"/>
      <c r="C39" s="1"/>
      <c r="D39" s="1"/>
      <c r="E39" s="1"/>
      <c r="F39" s="1"/>
      <c r="G39" s="1"/>
      <c r="H39" s="1"/>
      <c r="I39" s="1"/>
      <c r="J39" s="1"/>
      <c r="K39" s="1"/>
      <c r="L39" s="1"/>
      <c r="M39" s="1"/>
      <c r="N39" s="1"/>
      <c r="O39" s="1"/>
      <c r="P39" s="1"/>
      <c r="Q39" s="1"/>
      <c r="R39" s="1"/>
      <c r="S39" s="1"/>
      <c r="T39" s="1"/>
      <c r="U39" s="1"/>
      <c r="V39" s="1"/>
      <c r="W39" s="1"/>
      <c r="X39" s="1"/>
      <c r="Y39" s="1"/>
    </row>
    <row r="40" spans="1:25">
      <c r="A40" s="1"/>
      <c r="B40" s="1"/>
      <c r="C40" s="1"/>
      <c r="D40" s="1"/>
      <c r="E40" s="1"/>
      <c r="F40" s="1"/>
      <c r="G40" s="1"/>
      <c r="H40" s="1"/>
      <c r="I40" s="1"/>
      <c r="J40" s="1"/>
      <c r="K40" s="1"/>
      <c r="L40" s="1"/>
      <c r="M40" s="1"/>
      <c r="N40" s="1"/>
      <c r="O40" s="1"/>
      <c r="P40" s="1"/>
      <c r="Q40" s="1"/>
      <c r="R40" s="1"/>
      <c r="S40" s="1"/>
      <c r="T40" s="1"/>
      <c r="U40" s="1"/>
      <c r="V40" s="1"/>
      <c r="W40" s="1"/>
      <c r="X40" s="1"/>
      <c r="Y40" s="1"/>
    </row>
    <row r="41" spans="1:25">
      <c r="A41" s="1"/>
      <c r="B41" s="1"/>
      <c r="C41" s="1"/>
      <c r="D41" s="1"/>
      <c r="E41" s="1"/>
      <c r="F41" s="1"/>
      <c r="G41" s="1"/>
      <c r="H41" s="1"/>
      <c r="I41" s="1"/>
      <c r="J41" s="1"/>
      <c r="K41" s="1"/>
      <c r="L41" s="1"/>
      <c r="M41" s="1"/>
      <c r="N41" s="1"/>
      <c r="O41" s="1"/>
      <c r="P41" s="1"/>
      <c r="Q41" s="1"/>
      <c r="R41" s="1"/>
      <c r="S41" s="1"/>
      <c r="T41" s="1"/>
      <c r="U41" s="1"/>
      <c r="V41" s="1"/>
      <c r="W41" s="1"/>
      <c r="X41" s="1"/>
      <c r="Y41" s="1"/>
    </row>
    <row r="42" spans="1:25">
      <c r="A42" s="1"/>
      <c r="B42" s="1"/>
      <c r="C42" s="1"/>
      <c r="D42" s="1"/>
      <c r="E42" s="1"/>
      <c r="F42" s="1"/>
      <c r="G42" s="1"/>
      <c r="H42" s="1"/>
      <c r="I42" s="1"/>
      <c r="J42" s="1"/>
      <c r="K42" s="1"/>
      <c r="L42" s="1"/>
      <c r="M42" s="1"/>
      <c r="N42" s="1"/>
      <c r="O42" s="1"/>
      <c r="P42" s="1"/>
      <c r="Q42" s="1"/>
      <c r="R42" s="1"/>
      <c r="S42" s="1"/>
      <c r="T42" s="1"/>
      <c r="U42" s="1"/>
      <c r="V42" s="1"/>
      <c r="W42" s="1"/>
      <c r="X42" s="1"/>
      <c r="Y42" s="1"/>
    </row>
    <row r="43" spans="1:25">
      <c r="A43" s="1"/>
      <c r="B43" s="1"/>
      <c r="C43" s="1"/>
      <c r="D43" s="1"/>
      <c r="E43" s="1"/>
      <c r="F43" s="1"/>
      <c r="G43" s="1"/>
      <c r="H43" s="1"/>
      <c r="I43" s="1"/>
      <c r="J43" s="1"/>
      <c r="K43" s="1"/>
      <c r="L43" s="1"/>
      <c r="M43" s="1"/>
      <c r="N43" s="1"/>
      <c r="O43" s="1"/>
      <c r="P43" s="1"/>
      <c r="Q43" s="1"/>
      <c r="R43" s="1"/>
      <c r="S43" s="1"/>
      <c r="T43" s="1"/>
      <c r="U43" s="1"/>
      <c r="V43" s="1"/>
      <c r="W43" s="1"/>
      <c r="X43" s="1"/>
      <c r="Y43" s="1"/>
    </row>
    <row r="44" spans="1:25">
      <c r="A44" s="1"/>
      <c r="B44" s="1"/>
      <c r="C44" s="1"/>
      <c r="D44" s="1"/>
      <c r="E44" s="1"/>
      <c r="F44" s="1"/>
      <c r="G44" s="1"/>
      <c r="H44" s="1"/>
      <c r="I44" s="1"/>
      <c r="J44" s="1"/>
      <c r="K44" s="1"/>
      <c r="L44" s="1"/>
      <c r="M44" s="1"/>
      <c r="N44" s="1"/>
      <c r="O44" s="1"/>
      <c r="P44" s="1"/>
      <c r="Q44" s="1"/>
      <c r="R44" s="1"/>
      <c r="S44" s="1"/>
      <c r="T44" s="1"/>
      <c r="U44" s="1"/>
      <c r="V44" s="1"/>
      <c r="W44" s="1"/>
      <c r="X44" s="1"/>
      <c r="Y44" s="1"/>
    </row>
    <row r="45" spans="1:25">
      <c r="A45" s="1"/>
      <c r="B45" s="1"/>
      <c r="C45" s="1"/>
      <c r="D45" s="1"/>
      <c r="E45" s="1"/>
      <c r="F45" s="1"/>
      <c r="G45" s="1"/>
      <c r="H45" s="1"/>
      <c r="I45" s="1"/>
      <c r="J45" s="1"/>
      <c r="K45" s="1"/>
      <c r="L45" s="1"/>
      <c r="M45" s="1"/>
      <c r="N45" s="1"/>
      <c r="O45" s="1"/>
      <c r="P45" s="1"/>
      <c r="Q45" s="1"/>
      <c r="R45" s="1"/>
      <c r="S45" s="1"/>
      <c r="T45" s="1"/>
      <c r="U45" s="1"/>
      <c r="V45" s="1"/>
      <c r="W45" s="1"/>
      <c r="X45" s="1"/>
      <c r="Y45" s="1"/>
    </row>
    <row r="46" spans="1:25">
      <c r="A46" s="1"/>
      <c r="B46" s="1"/>
      <c r="C46" s="1"/>
      <c r="D46" s="1"/>
      <c r="E46" s="1"/>
      <c r="F46" s="1"/>
      <c r="G46" s="1"/>
      <c r="H46" s="1"/>
      <c r="I46" s="1"/>
      <c r="J46" s="1"/>
      <c r="K46" s="1"/>
      <c r="L46" s="1"/>
      <c r="M46" s="1"/>
      <c r="N46" s="1"/>
      <c r="O46" s="1"/>
      <c r="P46" s="1"/>
      <c r="Q46" s="1"/>
      <c r="R46" s="1"/>
      <c r="S46" s="1"/>
      <c r="T46" s="1"/>
      <c r="U46" s="1"/>
      <c r="V46" s="1"/>
      <c r="W46" s="1"/>
      <c r="X46" s="1"/>
      <c r="Y46" s="1"/>
    </row>
    <row r="47" spans="1:25">
      <c r="A47" s="1"/>
      <c r="B47" s="1"/>
      <c r="C47" s="1"/>
      <c r="D47" s="1"/>
      <c r="E47" s="1"/>
      <c r="F47" s="1"/>
      <c r="G47" s="1"/>
      <c r="H47" s="1"/>
      <c r="I47" s="1"/>
      <c r="J47" s="1"/>
      <c r="K47" s="1"/>
      <c r="L47" s="1"/>
      <c r="M47" s="1"/>
      <c r="N47" s="1"/>
      <c r="O47" s="1"/>
      <c r="P47" s="1"/>
      <c r="Q47" s="1"/>
      <c r="R47" s="1"/>
      <c r="S47" s="1"/>
      <c r="T47" s="1"/>
      <c r="U47" s="1"/>
      <c r="V47" s="1"/>
      <c r="W47" s="1"/>
      <c r="X47" s="1"/>
      <c r="Y47" s="1"/>
    </row>
    <row r="48" spans="1:25">
      <c r="A48" s="1"/>
      <c r="B48" s="1"/>
      <c r="C48" s="1"/>
      <c r="D48" s="1"/>
      <c r="E48" s="1"/>
      <c r="F48" s="1"/>
      <c r="G48" s="1"/>
      <c r="H48" s="1"/>
      <c r="I48" s="1"/>
      <c r="J48" s="1"/>
      <c r="K48" s="1"/>
      <c r="L48" s="1"/>
      <c r="M48" s="1"/>
      <c r="N48" s="1"/>
      <c r="O48" s="1"/>
      <c r="P48" s="1"/>
      <c r="Q48" s="1"/>
      <c r="R48" s="1"/>
      <c r="S48" s="1"/>
      <c r="T48" s="1"/>
      <c r="U48" s="1"/>
      <c r="V48" s="1"/>
      <c r="W48" s="1"/>
      <c r="X48" s="1"/>
      <c r="Y48" s="1"/>
    </row>
    <row r="49" spans="1:25">
      <c r="A49" s="1"/>
      <c r="B49" s="1"/>
      <c r="C49" s="1"/>
      <c r="D49" s="1"/>
      <c r="E49" s="1"/>
      <c r="F49" s="1"/>
      <c r="G49" s="1"/>
      <c r="H49" s="1"/>
      <c r="I49" s="1"/>
      <c r="J49" s="1"/>
      <c r="K49" s="1"/>
      <c r="L49" s="1"/>
      <c r="M49" s="1"/>
      <c r="N49" s="1"/>
      <c r="O49" s="1"/>
      <c r="P49" s="1"/>
      <c r="Q49" s="1"/>
      <c r="R49" s="1"/>
      <c r="S49" s="1"/>
      <c r="T49" s="1"/>
      <c r="U49" s="1"/>
      <c r="V49" s="1"/>
      <c r="W49" s="1"/>
      <c r="X49" s="1"/>
      <c r="Y49" s="1"/>
    </row>
    <row r="50" spans="1:25">
      <c r="A50" s="1"/>
      <c r="B50" s="1"/>
      <c r="C50" s="1"/>
      <c r="D50" s="1"/>
      <c r="E50" s="1"/>
      <c r="F50" s="1"/>
      <c r="G50" s="1"/>
      <c r="H50" s="1"/>
      <c r="I50" s="1"/>
      <c r="J50" s="1"/>
      <c r="K50" s="1"/>
      <c r="L50" s="1"/>
      <c r="M50" s="1"/>
      <c r="N50" s="1"/>
      <c r="O50" s="1"/>
      <c r="P50" s="1"/>
      <c r="Q50" s="1"/>
      <c r="R50" s="1"/>
      <c r="S50" s="1"/>
      <c r="T50" s="1"/>
      <c r="U50" s="1"/>
      <c r="V50" s="1"/>
      <c r="W50" s="1"/>
      <c r="X50" s="1"/>
      <c r="Y50" s="1"/>
    </row>
    <row r="51" spans="1:25">
      <c r="A51" s="1"/>
      <c r="B51" s="1"/>
      <c r="C51" s="1"/>
      <c r="D51" s="1"/>
      <c r="E51" s="1"/>
      <c r="F51" s="1"/>
      <c r="G51" s="1"/>
      <c r="H51" s="1"/>
      <c r="I51" s="1"/>
      <c r="J51" s="1"/>
      <c r="K51" s="1"/>
      <c r="L51" s="1"/>
      <c r="M51" s="1"/>
      <c r="N51" s="1"/>
      <c r="O51" s="1"/>
      <c r="P51" s="1"/>
      <c r="Q51" s="1"/>
      <c r="R51" s="1"/>
      <c r="S51" s="1"/>
      <c r="T51" s="1"/>
      <c r="U51" s="1"/>
      <c r="V51" s="1"/>
      <c r="W51" s="1"/>
      <c r="X51" s="1"/>
      <c r="Y51" s="1"/>
    </row>
    <row r="52" spans="1:25">
      <c r="A52" s="1"/>
      <c r="B52" s="1"/>
      <c r="C52" s="1"/>
      <c r="D52" s="1"/>
      <c r="E52" s="1"/>
      <c r="F52" s="1"/>
      <c r="G52" s="1"/>
      <c r="H52" s="1"/>
      <c r="I52" s="1"/>
      <c r="J52" s="1"/>
      <c r="K52" s="1"/>
      <c r="L52" s="1"/>
      <c r="M52" s="1"/>
      <c r="N52" s="1"/>
      <c r="O52" s="1"/>
      <c r="P52" s="1"/>
      <c r="Q52" s="1"/>
      <c r="R52" s="1"/>
      <c r="S52" s="1"/>
      <c r="T52" s="1"/>
      <c r="U52" s="1"/>
      <c r="V52" s="1"/>
      <c r="W52" s="1"/>
      <c r="X52" s="1"/>
      <c r="Y52" s="1"/>
    </row>
    <row r="53" spans="1:25">
      <c r="A53" s="1"/>
      <c r="B53" s="1"/>
      <c r="C53" s="1"/>
      <c r="D53" s="1"/>
      <c r="E53" s="1"/>
      <c r="F53" s="1"/>
      <c r="G53" s="1"/>
      <c r="H53" s="1"/>
      <c r="I53" s="1"/>
      <c r="J53" s="1"/>
      <c r="K53" s="1"/>
      <c r="L53" s="1"/>
      <c r="M53" s="1"/>
      <c r="N53" s="1"/>
      <c r="O53" s="1"/>
      <c r="P53" s="1"/>
      <c r="Q53" s="1"/>
      <c r="R53" s="1"/>
      <c r="S53" s="1"/>
      <c r="T53" s="1"/>
      <c r="U53" s="1"/>
      <c r="V53" s="1"/>
      <c r="W53" s="1"/>
      <c r="X53" s="1"/>
      <c r="Y53" s="1"/>
    </row>
    <row r="54" spans="1:25">
      <c r="A54" s="1"/>
      <c r="B54" s="1"/>
      <c r="C54" s="1"/>
      <c r="D54" s="1"/>
      <c r="E54" s="1"/>
      <c r="F54" s="1"/>
      <c r="G54" s="1"/>
      <c r="H54" s="1"/>
      <c r="I54" s="1"/>
      <c r="J54" s="1"/>
      <c r="K54" s="1"/>
      <c r="L54" s="1"/>
      <c r="M54" s="1"/>
      <c r="N54" s="1"/>
      <c r="O54" s="1"/>
      <c r="P54" s="1"/>
      <c r="Q54" s="1"/>
      <c r="R54" s="1"/>
      <c r="S54" s="1"/>
      <c r="T54" s="1"/>
      <c r="U54" s="1"/>
      <c r="V54" s="1"/>
      <c r="W54" s="1"/>
      <c r="X54" s="1"/>
      <c r="Y54" s="1"/>
    </row>
    <row r="55" spans="1:25">
      <c r="A55" s="1"/>
      <c r="B55" s="1"/>
      <c r="C55" s="1"/>
      <c r="D55" s="1"/>
      <c r="E55" s="1"/>
      <c r="F55" s="1"/>
      <c r="G55" s="1"/>
      <c r="H55" s="1"/>
      <c r="I55" s="1"/>
      <c r="J55" s="1"/>
      <c r="K55" s="1"/>
      <c r="L55" s="1"/>
      <c r="M55" s="1"/>
      <c r="N55" s="1"/>
      <c r="O55" s="1"/>
      <c r="P55" s="1"/>
      <c r="Q55" s="1"/>
      <c r="R55" s="1"/>
      <c r="S55" s="1"/>
      <c r="T55" s="1"/>
      <c r="U55" s="1"/>
      <c r="V55" s="1"/>
      <c r="W55" s="1"/>
      <c r="X55" s="1"/>
      <c r="Y55" s="1"/>
    </row>
    <row r="56" spans="1:25">
      <c r="A56" s="1"/>
      <c r="B56" s="1"/>
      <c r="C56" s="1"/>
      <c r="D56" s="1"/>
      <c r="E56" s="1"/>
      <c r="F56" s="1"/>
      <c r="G56" s="1"/>
      <c r="H56" s="1"/>
      <c r="I56" s="1"/>
      <c r="J56" s="1"/>
      <c r="K56" s="1"/>
      <c r="L56" s="1"/>
      <c r="M56" s="1"/>
      <c r="N56" s="1"/>
      <c r="O56" s="1"/>
      <c r="P56" s="1"/>
      <c r="Q56" s="1"/>
      <c r="R56" s="1"/>
      <c r="S56" s="1"/>
      <c r="T56" s="1"/>
      <c r="U56" s="1"/>
      <c r="V56" s="1"/>
      <c r="W56" s="1"/>
      <c r="X56" s="1"/>
      <c r="Y56" s="1"/>
    </row>
    <row r="57" spans="1:25">
      <c r="A57" s="1"/>
      <c r="B57" s="1"/>
      <c r="C57" s="1"/>
      <c r="D57" s="1"/>
      <c r="E57" s="1"/>
      <c r="F57" s="1"/>
      <c r="G57" s="1"/>
      <c r="H57" s="1"/>
      <c r="I57" s="1"/>
      <c r="J57" s="1"/>
      <c r="K57" s="1"/>
      <c r="L57" s="1"/>
      <c r="M57" s="1"/>
      <c r="N57" s="1"/>
      <c r="O57" s="1"/>
      <c r="P57" s="1"/>
      <c r="Q57" s="1"/>
      <c r="R57" s="1"/>
      <c r="S57" s="1"/>
      <c r="T57" s="1"/>
      <c r="U57" s="1"/>
      <c r="V57" s="1"/>
      <c r="W57" s="1"/>
      <c r="X57" s="1"/>
      <c r="Y57" s="1"/>
    </row>
    <row r="58" spans="1:25">
      <c r="A58" s="1"/>
      <c r="B58" s="1"/>
      <c r="C58" s="1"/>
      <c r="D58" s="1"/>
      <c r="E58" s="1"/>
      <c r="F58" s="1"/>
      <c r="G58" s="1"/>
      <c r="H58" s="1"/>
      <c r="I58" s="1"/>
      <c r="J58" s="1"/>
      <c r="K58" s="1"/>
      <c r="L58" s="1"/>
      <c r="M58" s="1"/>
      <c r="N58" s="1"/>
      <c r="O58" s="1"/>
      <c r="P58" s="1"/>
      <c r="Q58" s="1"/>
      <c r="R58" s="1"/>
      <c r="S58" s="1"/>
      <c r="T58" s="1"/>
      <c r="U58" s="1"/>
      <c r="V58" s="1"/>
      <c r="W58" s="1"/>
      <c r="X58" s="1"/>
      <c r="Y58" s="1"/>
    </row>
    <row r="59" spans="1:25">
      <c r="A59" s="1"/>
      <c r="B59" s="1"/>
      <c r="C59" s="1"/>
      <c r="D59" s="1"/>
      <c r="E59" s="1"/>
      <c r="F59" s="1"/>
      <c r="G59" s="1"/>
      <c r="H59" s="1"/>
      <c r="I59" s="1"/>
      <c r="J59" s="1"/>
      <c r="K59" s="1"/>
      <c r="L59" s="1"/>
      <c r="M59" s="1"/>
      <c r="N59" s="1"/>
      <c r="O59" s="1"/>
      <c r="P59" s="1"/>
      <c r="Q59" s="1"/>
      <c r="R59" s="1"/>
      <c r="S59" s="1"/>
      <c r="T59" s="1"/>
      <c r="U59" s="1"/>
      <c r="V59" s="1"/>
      <c r="W59" s="1"/>
      <c r="X59" s="1"/>
      <c r="Y59" s="1"/>
    </row>
    <row r="60" spans="1:25">
      <c r="A60" s="1"/>
      <c r="B60" s="1"/>
      <c r="C60" s="1"/>
      <c r="D60" s="1"/>
      <c r="E60" s="1"/>
      <c r="F60" s="1"/>
      <c r="G60" s="1"/>
      <c r="H60" s="1"/>
      <c r="I60" s="1"/>
      <c r="J60" s="1"/>
      <c r="K60" s="1"/>
      <c r="L60" s="1"/>
      <c r="M60" s="1"/>
      <c r="N60" s="1"/>
      <c r="O60" s="1"/>
      <c r="P60" s="1"/>
      <c r="Q60" s="1"/>
      <c r="R60" s="1"/>
      <c r="S60" s="1"/>
      <c r="T60" s="1"/>
      <c r="U60" s="1"/>
      <c r="V60" s="1"/>
      <c r="W60" s="1"/>
      <c r="X60" s="1"/>
      <c r="Y60" s="1"/>
    </row>
    <row r="61" spans="1:25">
      <c r="A61" s="1"/>
      <c r="B61" s="1"/>
      <c r="C61" s="1"/>
      <c r="D61" s="1"/>
      <c r="E61" s="1"/>
      <c r="F61" s="1"/>
      <c r="G61" s="1"/>
      <c r="H61" s="1"/>
      <c r="I61" s="1"/>
      <c r="J61" s="1"/>
      <c r="K61" s="1"/>
      <c r="L61" s="1"/>
      <c r="M61" s="1"/>
      <c r="N61" s="1"/>
      <c r="O61" s="1"/>
      <c r="P61" s="1"/>
      <c r="Q61" s="1"/>
      <c r="R61" s="1"/>
      <c r="S61" s="1"/>
      <c r="T61" s="1"/>
      <c r="U61" s="1"/>
      <c r="V61" s="1"/>
      <c r="W61" s="1"/>
      <c r="X61" s="1"/>
      <c r="Y61" s="1"/>
    </row>
    <row r="62" spans="1:25">
      <c r="A62" s="1"/>
      <c r="B62" s="1"/>
      <c r="C62" s="1"/>
      <c r="D62" s="1"/>
      <c r="E62" s="1"/>
      <c r="F62" s="1"/>
      <c r="G62" s="1"/>
      <c r="H62" s="1"/>
      <c r="I62" s="1"/>
      <c r="J62" s="1"/>
      <c r="K62" s="1"/>
      <c r="L62" s="1"/>
      <c r="M62" s="1"/>
      <c r="N62" s="1"/>
      <c r="O62" s="1"/>
      <c r="P62" s="1"/>
      <c r="Q62" s="1"/>
      <c r="R62" s="1"/>
      <c r="S62" s="1"/>
      <c r="T62" s="1"/>
      <c r="U62" s="1"/>
      <c r="V62" s="1"/>
      <c r="W62" s="1"/>
      <c r="X62" s="1"/>
      <c r="Y62" s="1"/>
    </row>
    <row r="63" spans="1:25">
      <c r="A63" s="1"/>
      <c r="B63" s="1"/>
      <c r="C63" s="1"/>
      <c r="D63" s="1"/>
      <c r="E63" s="1"/>
      <c r="F63" s="1"/>
      <c r="G63" s="1"/>
      <c r="H63" s="1"/>
      <c r="I63" s="1"/>
      <c r="J63" s="1"/>
      <c r="K63" s="1"/>
      <c r="L63" s="1"/>
      <c r="M63" s="1"/>
      <c r="N63" s="1"/>
      <c r="O63" s="1"/>
      <c r="P63" s="1"/>
      <c r="Q63" s="1"/>
      <c r="R63" s="1"/>
      <c r="S63" s="1"/>
      <c r="T63" s="1"/>
      <c r="U63" s="1"/>
      <c r="V63" s="1"/>
      <c r="W63" s="1"/>
      <c r="X63" s="1"/>
      <c r="Y63" s="1"/>
    </row>
    <row r="64" spans="1:25">
      <c r="A64" s="1"/>
      <c r="B64" s="1"/>
      <c r="C64" s="1"/>
      <c r="D64" s="1"/>
      <c r="E64" s="1"/>
      <c r="F64" s="1"/>
      <c r="G64" s="1"/>
      <c r="H64" s="1"/>
      <c r="I64" s="1"/>
      <c r="J64" s="1"/>
      <c r="K64" s="1"/>
      <c r="L64" s="1"/>
      <c r="M64" s="1"/>
      <c r="N64" s="1"/>
      <c r="O64" s="1"/>
      <c r="P64" s="1"/>
      <c r="Q64" s="1"/>
      <c r="R64" s="1"/>
      <c r="S64" s="1"/>
      <c r="T64" s="1"/>
      <c r="U64" s="1"/>
      <c r="V64" s="1"/>
      <c r="W64" s="1"/>
      <c r="X64" s="1"/>
      <c r="Y64" s="1"/>
    </row>
    <row r="65" spans="1:25">
      <c r="A65" s="1"/>
      <c r="B65" s="1"/>
      <c r="C65" s="1"/>
      <c r="D65" s="1"/>
      <c r="E65" s="1"/>
      <c r="F65" s="1"/>
      <c r="G65" s="1"/>
      <c r="H65" s="1"/>
      <c r="I65" s="1"/>
      <c r="J65" s="1"/>
      <c r="K65" s="1"/>
      <c r="L65" s="1"/>
      <c r="M65" s="1"/>
      <c r="N65" s="1"/>
      <c r="O65" s="1"/>
      <c r="P65" s="1"/>
      <c r="Q65" s="1"/>
      <c r="R65" s="1"/>
      <c r="S65" s="1"/>
      <c r="T65" s="1"/>
      <c r="U65" s="1"/>
      <c r="V65" s="1"/>
      <c r="W65" s="1"/>
      <c r="X65" s="1"/>
      <c r="Y65" s="1"/>
    </row>
    <row r="66" spans="1:25">
      <c r="A66" s="1"/>
      <c r="B66" s="1"/>
      <c r="C66" s="1"/>
      <c r="D66" s="1"/>
      <c r="E66" s="1"/>
      <c r="F66" s="1"/>
      <c r="G66" s="1"/>
      <c r="H66" s="1"/>
      <c r="I66" s="1"/>
      <c r="J66" s="1"/>
      <c r="K66" s="1"/>
      <c r="L66" s="1"/>
      <c r="M66" s="1"/>
      <c r="N66" s="1"/>
      <c r="O66" s="1"/>
      <c r="P66" s="1"/>
      <c r="Q66" s="1"/>
      <c r="R66" s="1"/>
      <c r="S66" s="1"/>
      <c r="T66" s="1"/>
      <c r="U66" s="1"/>
      <c r="V66" s="1"/>
      <c r="W66" s="1"/>
      <c r="X66" s="1"/>
      <c r="Y66" s="1"/>
    </row>
    <row r="67" spans="1:25">
      <c r="A67" s="1"/>
      <c r="B67" s="1"/>
      <c r="C67" s="1"/>
      <c r="D67" s="1"/>
      <c r="E67" s="1"/>
      <c r="F67" s="1"/>
      <c r="G67" s="1"/>
      <c r="H67" s="1"/>
      <c r="I67" s="1"/>
      <c r="J67" s="1"/>
      <c r="K67" s="1"/>
      <c r="L67" s="1"/>
      <c r="M67" s="1"/>
      <c r="N67" s="1"/>
      <c r="O67" s="1"/>
      <c r="P67" s="1"/>
      <c r="Q67" s="1"/>
      <c r="R67" s="1"/>
      <c r="S67" s="1"/>
      <c r="T67" s="1"/>
      <c r="U67" s="1"/>
      <c r="V67" s="1"/>
      <c r="W67" s="1"/>
      <c r="X67" s="1"/>
      <c r="Y67" s="1"/>
    </row>
    <row r="68" spans="1:25">
      <c r="A68" s="1"/>
      <c r="B68" s="1"/>
      <c r="C68" s="1"/>
      <c r="D68" s="1"/>
      <c r="E68" s="1"/>
      <c r="F68" s="1"/>
      <c r="G68" s="1"/>
      <c r="H68" s="1"/>
      <c r="I68" s="1"/>
      <c r="J68" s="1"/>
      <c r="K68" s="1"/>
      <c r="L68" s="1"/>
      <c r="M68" s="1"/>
      <c r="N68" s="1"/>
      <c r="O68" s="1"/>
      <c r="P68" s="1"/>
      <c r="Q68" s="1"/>
      <c r="R68" s="1"/>
      <c r="S68" s="1"/>
      <c r="T68" s="1"/>
      <c r="U68" s="1"/>
      <c r="V68" s="1"/>
      <c r="W68" s="1"/>
      <c r="X68" s="1"/>
      <c r="Y68" s="1"/>
    </row>
    <row r="69" spans="1:25">
      <c r="A69" s="1"/>
      <c r="B69" s="1"/>
      <c r="C69" s="1"/>
      <c r="D69" s="1"/>
      <c r="E69" s="1"/>
      <c r="F69" s="1"/>
      <c r="G69" s="1"/>
      <c r="H69" s="1"/>
      <c r="I69" s="1"/>
      <c r="J69" s="1"/>
      <c r="K69" s="1"/>
      <c r="L69" s="1"/>
      <c r="M69" s="1"/>
      <c r="N69" s="1"/>
      <c r="O69" s="1"/>
      <c r="P69" s="1"/>
      <c r="Q69" s="1"/>
      <c r="R69" s="1"/>
      <c r="S69" s="1"/>
      <c r="T69" s="1"/>
      <c r="U69" s="1"/>
      <c r="V69" s="1"/>
      <c r="W69" s="1"/>
      <c r="X69" s="1"/>
      <c r="Y69" s="1"/>
    </row>
    <row r="70" spans="1:25">
      <c r="A70" s="1"/>
      <c r="B70" s="1"/>
      <c r="C70" s="1"/>
      <c r="D70" s="1"/>
      <c r="E70" s="1"/>
      <c r="F70" s="1"/>
      <c r="G70" s="1"/>
      <c r="H70" s="1"/>
      <c r="I70" s="1"/>
      <c r="J70" s="1"/>
      <c r="K70" s="1"/>
      <c r="L70" s="1"/>
      <c r="M70" s="1"/>
      <c r="N70" s="1"/>
      <c r="O70" s="1"/>
      <c r="P70" s="1"/>
      <c r="Q70" s="1"/>
      <c r="R70" s="1"/>
      <c r="S70" s="1"/>
      <c r="T70" s="1"/>
      <c r="U70" s="1"/>
      <c r="V70" s="1"/>
      <c r="W70" s="1"/>
      <c r="X70" s="1"/>
      <c r="Y70" s="1"/>
    </row>
    <row r="71" spans="1:25">
      <c r="A71" s="1"/>
      <c r="B71" s="1"/>
      <c r="C71" s="1"/>
      <c r="D71" s="1"/>
      <c r="E71" s="1"/>
      <c r="F71" s="1"/>
      <c r="G71" s="1"/>
      <c r="H71" s="1"/>
      <c r="I71" s="1"/>
      <c r="J71" s="1"/>
      <c r="K71" s="1"/>
      <c r="L71" s="1"/>
      <c r="M71" s="1"/>
      <c r="N71" s="1"/>
      <c r="O71" s="1"/>
      <c r="P71" s="1"/>
      <c r="Q71" s="1"/>
      <c r="R71" s="1"/>
      <c r="S71" s="1"/>
      <c r="T71" s="1"/>
      <c r="U71" s="1"/>
      <c r="V71" s="1"/>
      <c r="W71" s="1"/>
      <c r="X71" s="1"/>
      <c r="Y71" s="1"/>
    </row>
    <row r="72" spans="1:25">
      <c r="A72" s="1"/>
      <c r="B72" s="1"/>
      <c r="C72" s="1"/>
      <c r="D72" s="1"/>
      <c r="E72" s="1"/>
      <c r="F72" s="1"/>
      <c r="G72" s="1"/>
      <c r="H72" s="1"/>
      <c r="I72" s="1"/>
      <c r="J72" s="1"/>
      <c r="K72" s="1"/>
      <c r="L72" s="1"/>
      <c r="M72" s="1"/>
      <c r="N72" s="1"/>
      <c r="O72" s="1"/>
      <c r="P72" s="1"/>
      <c r="Q72" s="1"/>
      <c r="R72" s="1"/>
      <c r="S72" s="1"/>
      <c r="T72" s="1"/>
      <c r="U72" s="1"/>
      <c r="V72" s="1"/>
      <c r="W72" s="1"/>
      <c r="X72" s="1"/>
      <c r="Y72" s="1"/>
    </row>
    <row r="73" spans="1:25">
      <c r="A73" s="1"/>
      <c r="B73" s="1"/>
      <c r="C73" s="1"/>
      <c r="D73" s="1"/>
      <c r="E73" s="1"/>
      <c r="F73" s="1"/>
      <c r="G73" s="1"/>
      <c r="H73" s="1"/>
      <c r="I73" s="1"/>
      <c r="J73" s="1"/>
      <c r="K73" s="1"/>
      <c r="L73" s="1"/>
      <c r="M73" s="1"/>
      <c r="N73" s="1"/>
      <c r="O73" s="1"/>
      <c r="P73" s="1"/>
      <c r="Q73" s="1"/>
      <c r="R73" s="1"/>
      <c r="S73" s="1"/>
      <c r="T73" s="1"/>
      <c r="U73" s="1"/>
      <c r="V73" s="1"/>
      <c r="W73" s="1"/>
      <c r="X73" s="1"/>
      <c r="Y73" s="1"/>
    </row>
    <row r="74" spans="1:25">
      <c r="A74" s="1"/>
      <c r="B74" s="1"/>
      <c r="C74" s="1"/>
      <c r="D74" s="1"/>
      <c r="E74" s="1"/>
      <c r="F74" s="1"/>
      <c r="G74" s="1"/>
      <c r="H74" s="1"/>
      <c r="I74" s="1"/>
      <c r="J74" s="1"/>
      <c r="K74" s="1"/>
      <c r="L74" s="1"/>
      <c r="M74" s="1"/>
      <c r="N74" s="1"/>
      <c r="O74" s="1"/>
      <c r="P74" s="1"/>
      <c r="Q74" s="1"/>
      <c r="R74" s="1"/>
      <c r="S74" s="1"/>
      <c r="T74" s="1"/>
      <c r="U74" s="1"/>
      <c r="V74" s="1"/>
      <c r="W74" s="1"/>
      <c r="X74" s="1"/>
      <c r="Y74" s="1"/>
    </row>
    <row r="75" spans="1:25">
      <c r="A75" s="1"/>
      <c r="B75" s="1"/>
      <c r="C75" s="1"/>
      <c r="D75" s="1"/>
      <c r="E75" s="1"/>
      <c r="F75" s="1"/>
      <c r="G75" s="1"/>
      <c r="H75" s="1"/>
      <c r="I75" s="1"/>
      <c r="J75" s="1"/>
      <c r="K75" s="1"/>
      <c r="L75" s="1"/>
      <c r="M75" s="1"/>
      <c r="N75" s="1"/>
      <c r="O75" s="1"/>
      <c r="P75" s="1"/>
      <c r="Q75" s="1"/>
      <c r="R75" s="1"/>
      <c r="S75" s="1"/>
      <c r="T75" s="1"/>
      <c r="U75" s="1"/>
      <c r="V75" s="1"/>
      <c r="W75" s="1"/>
      <c r="X75" s="1"/>
      <c r="Y75" s="1"/>
    </row>
    <row r="76" spans="1:25">
      <c r="A76" s="1"/>
      <c r="B76" s="1"/>
      <c r="C76" s="1"/>
      <c r="D76" s="1"/>
      <c r="E76" s="1"/>
      <c r="F76" s="1"/>
      <c r="G76" s="1"/>
      <c r="H76" s="1"/>
      <c r="I76" s="1"/>
      <c r="J76" s="1"/>
      <c r="K76" s="1"/>
      <c r="L76" s="1"/>
      <c r="M76" s="1"/>
      <c r="N76" s="1"/>
      <c r="O76" s="1"/>
      <c r="P76" s="1"/>
      <c r="Q76" s="1"/>
      <c r="R76" s="1"/>
      <c r="S76" s="1"/>
      <c r="T76" s="1"/>
      <c r="U76" s="1"/>
      <c r="V76" s="1"/>
      <c r="W76" s="1"/>
      <c r="X76" s="1"/>
      <c r="Y76" s="1"/>
    </row>
    <row r="77" spans="1:25">
      <c r="A77" s="1"/>
      <c r="B77" s="1"/>
      <c r="C77" s="1"/>
      <c r="D77" s="1"/>
      <c r="E77" s="1"/>
      <c r="F77" s="1"/>
      <c r="G77" s="1"/>
      <c r="H77" s="1"/>
      <c r="I77" s="1"/>
      <c r="J77" s="1"/>
      <c r="K77" s="1"/>
      <c r="L77" s="1"/>
      <c r="M77" s="1"/>
      <c r="N77" s="1"/>
      <c r="O77" s="1"/>
      <c r="P77" s="1"/>
      <c r="Q77" s="1"/>
      <c r="R77" s="1"/>
      <c r="S77" s="1"/>
      <c r="T77" s="1"/>
      <c r="U77" s="1"/>
      <c r="V77" s="1"/>
      <c r="W77" s="1"/>
      <c r="X77" s="1"/>
      <c r="Y77" s="1"/>
    </row>
    <row r="78" spans="1:25">
      <c r="A78" s="1"/>
      <c r="B78" s="1"/>
      <c r="C78" s="1"/>
      <c r="D78" s="1"/>
      <c r="E78" s="1"/>
      <c r="F78" s="1"/>
      <c r="G78" s="1"/>
      <c r="H78" s="1"/>
      <c r="I78" s="1"/>
      <c r="J78" s="1"/>
      <c r="K78" s="1"/>
      <c r="L78" s="1"/>
      <c r="M78" s="1"/>
      <c r="N78" s="1"/>
      <c r="O78" s="1"/>
      <c r="P78" s="1"/>
      <c r="Q78" s="1"/>
      <c r="R78" s="1"/>
      <c r="S78" s="1"/>
      <c r="T78" s="1"/>
      <c r="U78" s="1"/>
      <c r="V78" s="1"/>
      <c r="W78" s="1"/>
      <c r="X78" s="1"/>
      <c r="Y78" s="1"/>
    </row>
    <row r="79" spans="1:25">
      <c r="A79" s="1"/>
      <c r="B79" s="1"/>
      <c r="C79" s="1"/>
      <c r="D79" s="1"/>
      <c r="E79" s="1"/>
      <c r="F79" s="1"/>
      <c r="G79" s="1"/>
      <c r="H79" s="1"/>
      <c r="I79" s="1"/>
      <c r="J79" s="1"/>
      <c r="K79" s="1"/>
      <c r="L79" s="1"/>
      <c r="M79" s="1"/>
      <c r="N79" s="1"/>
      <c r="O79" s="1"/>
      <c r="P79" s="1"/>
      <c r="Q79" s="1"/>
      <c r="R79" s="1"/>
      <c r="S79" s="1"/>
      <c r="T79" s="1"/>
      <c r="U79" s="1"/>
      <c r="V79" s="1"/>
      <c r="W79" s="1"/>
      <c r="X79" s="1"/>
      <c r="Y79" s="1"/>
    </row>
    <row r="80" spans="1:25">
      <c r="A80" s="1"/>
      <c r="B80" s="1"/>
      <c r="C80" s="1"/>
      <c r="D80" s="1"/>
      <c r="E80" s="1"/>
      <c r="F80" s="1"/>
      <c r="G80" s="1"/>
      <c r="H80" s="1"/>
      <c r="I80" s="1"/>
      <c r="J80" s="1"/>
      <c r="K80" s="1"/>
      <c r="L80" s="1"/>
      <c r="M80" s="1"/>
      <c r="N80" s="1"/>
      <c r="O80" s="1"/>
      <c r="P80" s="1"/>
      <c r="Q80" s="1"/>
      <c r="R80" s="1"/>
      <c r="S80" s="1"/>
      <c r="T80" s="1"/>
      <c r="U80" s="1"/>
      <c r="V80" s="1"/>
      <c r="W80" s="1"/>
      <c r="X80" s="1"/>
      <c r="Y80" s="1"/>
    </row>
    <row r="81" spans="1:25">
      <c r="A81" s="1"/>
      <c r="B81" s="1"/>
      <c r="C81" s="1"/>
      <c r="D81" s="1"/>
      <c r="E81" s="1"/>
      <c r="F81" s="1"/>
      <c r="G81" s="1"/>
      <c r="H81" s="1"/>
      <c r="I81" s="1"/>
      <c r="J81" s="1"/>
      <c r="K81" s="1"/>
      <c r="L81" s="1"/>
      <c r="M81" s="1"/>
      <c r="N81" s="1"/>
      <c r="O81" s="1"/>
      <c r="P81" s="1"/>
      <c r="Q81" s="1"/>
      <c r="R81" s="1"/>
      <c r="S81" s="1"/>
      <c r="T81" s="1"/>
      <c r="U81" s="1"/>
      <c r="V81" s="1"/>
      <c r="W81" s="1"/>
      <c r="X81" s="1"/>
      <c r="Y81" s="1"/>
    </row>
    <row r="82" spans="1:25">
      <c r="A82" s="1"/>
      <c r="B82" s="1"/>
      <c r="C82" s="1"/>
      <c r="D82" s="1"/>
      <c r="E82" s="1"/>
      <c r="F82" s="1"/>
      <c r="G82" s="1"/>
      <c r="H82" s="1"/>
      <c r="I82" s="1"/>
      <c r="J82" s="1"/>
      <c r="K82" s="1"/>
      <c r="L82" s="1"/>
      <c r="M82" s="1"/>
      <c r="N82" s="1"/>
      <c r="O82" s="1"/>
      <c r="P82" s="1"/>
      <c r="Q82" s="1"/>
      <c r="R82" s="1"/>
      <c r="S82" s="1"/>
      <c r="T82" s="1"/>
      <c r="U82" s="1"/>
      <c r="V82" s="1"/>
      <c r="W82" s="1"/>
      <c r="X82" s="1"/>
      <c r="Y82" s="1"/>
    </row>
    <row r="83" spans="1:25">
      <c r="A83" s="1"/>
      <c r="B83" s="1"/>
      <c r="C83" s="1"/>
      <c r="D83" s="1"/>
      <c r="E83" s="1"/>
      <c r="F83" s="1"/>
      <c r="G83" s="1"/>
      <c r="H83" s="1"/>
      <c r="I83" s="1"/>
      <c r="J83" s="1"/>
      <c r="K83" s="1"/>
      <c r="L83" s="1"/>
      <c r="M83" s="1"/>
      <c r="N83" s="1"/>
      <c r="O83" s="1"/>
      <c r="P83" s="1"/>
      <c r="Q83" s="1"/>
      <c r="R83" s="1"/>
      <c r="S83" s="1"/>
      <c r="T83" s="1"/>
      <c r="U83" s="1"/>
      <c r="V83" s="1"/>
      <c r="W83" s="1"/>
      <c r="X83" s="1"/>
      <c r="Y83" s="1"/>
    </row>
    <row r="84" spans="1:25">
      <c r="A84" s="1"/>
      <c r="B84" s="1"/>
      <c r="C84" s="1"/>
      <c r="D84" s="1"/>
      <c r="E84" s="1"/>
      <c r="F84" s="1"/>
      <c r="G84" s="1"/>
      <c r="H84" s="1"/>
      <c r="I84" s="1"/>
      <c r="J84" s="1"/>
      <c r="K84" s="1"/>
      <c r="L84" s="1"/>
      <c r="M84" s="1"/>
      <c r="N84" s="1"/>
      <c r="O84" s="1"/>
      <c r="P84" s="1"/>
      <c r="Q84" s="1"/>
      <c r="R84" s="1"/>
      <c r="S84" s="1"/>
      <c r="T84" s="1"/>
      <c r="U84" s="1"/>
      <c r="V84" s="1"/>
      <c r="W84" s="1"/>
      <c r="X84" s="1"/>
      <c r="Y84" s="1"/>
    </row>
    <row r="85" spans="1:25">
      <c r="A85" s="1"/>
      <c r="B85" s="1"/>
      <c r="C85" s="1"/>
      <c r="D85" s="1"/>
      <c r="E85" s="1"/>
      <c r="F85" s="1"/>
      <c r="G85" s="1"/>
      <c r="H85" s="1"/>
      <c r="I85" s="1"/>
      <c r="J85" s="1"/>
      <c r="K85" s="1"/>
      <c r="L85" s="1"/>
      <c r="M85" s="1"/>
      <c r="N85" s="1"/>
      <c r="O85" s="1"/>
      <c r="P85" s="1"/>
      <c r="Q85" s="1"/>
      <c r="R85" s="1"/>
      <c r="S85" s="1"/>
      <c r="T85" s="1"/>
      <c r="U85" s="1"/>
      <c r="V85" s="1"/>
      <c r="W85" s="1"/>
      <c r="X85" s="1"/>
      <c r="Y85" s="1"/>
    </row>
    <row r="86" spans="1:25">
      <c r="A86" s="1"/>
      <c r="B86" s="1"/>
      <c r="C86" s="1"/>
      <c r="D86" s="1"/>
      <c r="E86" s="1"/>
      <c r="F86" s="1"/>
      <c r="G86" s="1"/>
      <c r="H86" s="1"/>
      <c r="I86" s="1"/>
      <c r="J86" s="1"/>
      <c r="K86" s="1"/>
      <c r="L86" s="1"/>
      <c r="M86" s="1"/>
      <c r="N86" s="1"/>
      <c r="O86" s="1"/>
      <c r="P86" s="1"/>
      <c r="Q86" s="1"/>
      <c r="R86" s="1"/>
      <c r="S86" s="1"/>
      <c r="T86" s="1"/>
      <c r="U86" s="1"/>
      <c r="V86" s="1"/>
      <c r="W86" s="1"/>
      <c r="X86" s="1"/>
      <c r="Y86" s="1"/>
    </row>
    <row r="87" spans="1:25">
      <c r="A87" s="1"/>
      <c r="B87" s="1"/>
      <c r="C87" s="1"/>
      <c r="D87" s="1"/>
      <c r="E87" s="1"/>
      <c r="F87" s="1"/>
      <c r="G87" s="1"/>
      <c r="H87" s="1"/>
      <c r="I87" s="1"/>
      <c r="J87" s="1"/>
      <c r="K87" s="1"/>
      <c r="L87" s="1"/>
      <c r="M87" s="1"/>
      <c r="N87" s="1"/>
      <c r="O87" s="1"/>
      <c r="P87" s="1"/>
      <c r="Q87" s="1"/>
      <c r="R87" s="1"/>
      <c r="S87" s="1"/>
      <c r="T87" s="1"/>
      <c r="U87" s="1"/>
      <c r="V87" s="1"/>
      <c r="W87" s="1"/>
      <c r="X87" s="1"/>
      <c r="Y87" s="1"/>
    </row>
    <row r="88" spans="1:25">
      <c r="A88" s="1"/>
      <c r="B88" s="1"/>
      <c r="C88" s="1"/>
      <c r="D88" s="1"/>
      <c r="E88" s="1"/>
      <c r="F88" s="1"/>
      <c r="G88" s="1"/>
      <c r="H88" s="1"/>
      <c r="I88" s="1"/>
      <c r="J88" s="1"/>
      <c r="K88" s="1"/>
      <c r="L88" s="1"/>
      <c r="M88" s="1"/>
      <c r="N88" s="1"/>
      <c r="O88" s="1"/>
      <c r="P88" s="1"/>
      <c r="Q88" s="1"/>
      <c r="R88" s="1"/>
      <c r="S88" s="1"/>
      <c r="T88" s="1"/>
      <c r="U88" s="1"/>
      <c r="V88" s="1"/>
      <c r="W88" s="1"/>
      <c r="X88" s="1"/>
      <c r="Y88" s="1"/>
    </row>
    <row r="89" spans="1:25">
      <c r="A89" s="1"/>
      <c r="B89" s="1"/>
      <c r="C89" s="1"/>
      <c r="D89" s="1"/>
      <c r="E89" s="1"/>
      <c r="F89" s="1"/>
      <c r="G89" s="1"/>
      <c r="H89" s="1"/>
      <c r="I89" s="1"/>
      <c r="J89" s="1"/>
      <c r="K89" s="1"/>
      <c r="L89" s="1"/>
      <c r="M89" s="1"/>
      <c r="N89" s="1"/>
      <c r="O89" s="1"/>
      <c r="P89" s="1"/>
      <c r="Q89" s="1"/>
      <c r="R89" s="1"/>
      <c r="S89" s="1"/>
      <c r="T89" s="1"/>
      <c r="U89" s="1"/>
      <c r="V89" s="1"/>
      <c r="W89" s="1"/>
      <c r="X89" s="1"/>
      <c r="Y89" s="1"/>
    </row>
    <row r="90" spans="1:25">
      <c r="A90" s="1"/>
      <c r="B90" s="1"/>
      <c r="C90" s="1"/>
      <c r="D90" s="1"/>
      <c r="E90" s="1"/>
      <c r="F90" s="1"/>
      <c r="G90" s="1"/>
      <c r="H90" s="1"/>
      <c r="I90" s="1"/>
      <c r="J90" s="1"/>
      <c r="K90" s="1"/>
      <c r="L90" s="1"/>
      <c r="M90" s="1"/>
      <c r="N90" s="1"/>
      <c r="O90" s="1"/>
      <c r="P90" s="1"/>
      <c r="Q90" s="1"/>
      <c r="R90" s="1"/>
      <c r="S90" s="1"/>
      <c r="T90" s="1"/>
      <c r="U90" s="1"/>
      <c r="V90" s="1"/>
      <c r="W90" s="1"/>
      <c r="X90" s="1"/>
      <c r="Y90" s="1"/>
    </row>
    <row r="91" spans="1:25">
      <c r="A91" s="1"/>
      <c r="B91" s="1"/>
      <c r="C91" s="1"/>
      <c r="D91" s="1"/>
      <c r="E91" s="1"/>
      <c r="F91" s="1"/>
      <c r="G91" s="1"/>
      <c r="H91" s="1"/>
      <c r="I91" s="1"/>
      <c r="J91" s="1"/>
      <c r="K91" s="1"/>
      <c r="L91" s="1"/>
      <c r="M91" s="1"/>
      <c r="N91" s="1"/>
      <c r="O91" s="1"/>
      <c r="P91" s="1"/>
      <c r="Q91" s="1"/>
      <c r="R91" s="1"/>
      <c r="S91" s="1"/>
      <c r="T91" s="1"/>
      <c r="U91" s="1"/>
      <c r="V91" s="1"/>
      <c r="W91" s="1"/>
      <c r="X91" s="1"/>
      <c r="Y91" s="1"/>
    </row>
    <row r="92" spans="1:25">
      <c r="A92" s="1"/>
      <c r="B92" s="1"/>
      <c r="C92" s="1"/>
      <c r="D92" s="1"/>
      <c r="E92" s="1"/>
      <c r="F92" s="1"/>
      <c r="G92" s="1"/>
      <c r="H92" s="1"/>
      <c r="I92" s="1"/>
      <c r="J92" s="1"/>
      <c r="K92" s="1"/>
      <c r="L92" s="1"/>
      <c r="M92" s="1"/>
      <c r="N92" s="1"/>
      <c r="O92" s="1"/>
      <c r="P92" s="1"/>
      <c r="Q92" s="1"/>
      <c r="R92" s="1"/>
      <c r="S92" s="1"/>
      <c r="T92" s="1"/>
      <c r="U92" s="1"/>
      <c r="V92" s="1"/>
      <c r="W92" s="1"/>
      <c r="X92" s="1"/>
      <c r="Y92" s="1"/>
    </row>
    <row r="93" spans="1:25">
      <c r="A93" s="1"/>
      <c r="B93" s="1"/>
      <c r="C93" s="1"/>
      <c r="D93" s="1"/>
      <c r="E93" s="1"/>
      <c r="F93" s="1"/>
      <c r="G93" s="1"/>
      <c r="H93" s="1"/>
      <c r="I93" s="1"/>
      <c r="J93" s="1"/>
      <c r="K93" s="1"/>
      <c r="L93" s="1"/>
      <c r="M93" s="1"/>
      <c r="N93" s="1"/>
      <c r="O93" s="1"/>
      <c r="P93" s="1"/>
      <c r="Q93" s="1"/>
      <c r="R93" s="1"/>
      <c r="S93" s="1"/>
      <c r="T93" s="1"/>
      <c r="U93" s="1"/>
      <c r="V93" s="1"/>
      <c r="W93" s="1"/>
      <c r="X93" s="1"/>
      <c r="Y93" s="1"/>
    </row>
    <row r="94" spans="1:25">
      <c r="A94" s="1"/>
      <c r="B94" s="1"/>
      <c r="C94" s="1"/>
      <c r="D94" s="1"/>
      <c r="E94" s="1"/>
      <c r="F94" s="1"/>
      <c r="G94" s="1"/>
      <c r="H94" s="1"/>
      <c r="I94" s="1"/>
      <c r="J94" s="1"/>
      <c r="K94" s="1"/>
      <c r="L94" s="1"/>
      <c r="M94" s="1"/>
      <c r="N94" s="1"/>
      <c r="O94" s="1"/>
      <c r="P94" s="1"/>
      <c r="Q94" s="1"/>
      <c r="R94" s="1"/>
      <c r="S94" s="1"/>
      <c r="T94" s="1"/>
      <c r="U94" s="1"/>
      <c r="V94" s="1"/>
      <c r="W94" s="1"/>
      <c r="X94" s="1"/>
      <c r="Y94" s="1"/>
    </row>
    <row r="95" spans="1:25">
      <c r="A95" s="1"/>
      <c r="B95" s="1"/>
      <c r="C95" s="1"/>
      <c r="D95" s="1"/>
      <c r="E95" s="1"/>
      <c r="F95" s="1"/>
      <c r="G95" s="1"/>
      <c r="H95" s="1"/>
      <c r="I95" s="1"/>
      <c r="J95" s="1"/>
      <c r="K95" s="1"/>
      <c r="L95" s="1"/>
      <c r="M95" s="1"/>
      <c r="N95" s="1"/>
      <c r="O95" s="1"/>
      <c r="P95" s="1"/>
      <c r="Q95" s="1"/>
      <c r="R95" s="1"/>
      <c r="S95" s="1"/>
      <c r="T95" s="1"/>
      <c r="U95" s="1"/>
      <c r="V95" s="1"/>
      <c r="W95" s="1"/>
      <c r="X95" s="1"/>
      <c r="Y95" s="1"/>
    </row>
    <row r="96" spans="1:25">
      <c r="A96" s="1"/>
      <c r="B96" s="1"/>
      <c r="C96" s="1"/>
      <c r="D96" s="1"/>
      <c r="E96" s="1"/>
      <c r="F96" s="1"/>
      <c r="G96" s="1"/>
      <c r="H96" s="1"/>
      <c r="I96" s="1"/>
      <c r="J96" s="1"/>
      <c r="K96" s="1"/>
      <c r="L96" s="1"/>
      <c r="M96" s="1"/>
      <c r="N96" s="1"/>
      <c r="O96" s="1"/>
      <c r="P96" s="1"/>
      <c r="Q96" s="1"/>
      <c r="R96" s="1"/>
      <c r="S96" s="1"/>
      <c r="T96" s="1"/>
      <c r="U96" s="1"/>
      <c r="V96" s="1"/>
      <c r="W96" s="1"/>
      <c r="X96" s="1"/>
      <c r="Y96" s="1"/>
    </row>
    <row r="97" spans="1:25">
      <c r="A97" s="1"/>
      <c r="B97" s="1"/>
      <c r="C97" s="1"/>
      <c r="D97" s="1"/>
      <c r="E97" s="1"/>
      <c r="F97" s="1"/>
      <c r="G97" s="1"/>
      <c r="H97" s="1"/>
      <c r="I97" s="1"/>
      <c r="J97" s="1"/>
      <c r="K97" s="1"/>
      <c r="L97" s="1"/>
      <c r="M97" s="1"/>
      <c r="N97" s="1"/>
      <c r="O97" s="1"/>
      <c r="P97" s="1"/>
      <c r="Q97" s="1"/>
      <c r="R97" s="1"/>
      <c r="S97" s="1"/>
      <c r="T97" s="1"/>
      <c r="U97" s="1"/>
      <c r="V97" s="1"/>
      <c r="W97" s="1"/>
      <c r="X97" s="1"/>
      <c r="Y97" s="1"/>
    </row>
    <row r="98" spans="1:25">
      <c r="A98" s="1"/>
      <c r="B98" s="1"/>
      <c r="C98" s="1"/>
      <c r="D98" s="1"/>
      <c r="E98" s="1"/>
      <c r="F98" s="1"/>
      <c r="G98" s="1"/>
      <c r="H98" s="1"/>
      <c r="I98" s="1"/>
      <c r="J98" s="1"/>
      <c r="K98" s="1"/>
      <c r="L98" s="1"/>
      <c r="M98" s="1"/>
      <c r="N98" s="1"/>
      <c r="O98" s="1"/>
      <c r="P98" s="1"/>
      <c r="Q98" s="1"/>
      <c r="R98" s="1"/>
      <c r="S98" s="1"/>
      <c r="T98" s="1"/>
      <c r="U98" s="1"/>
      <c r="V98" s="1"/>
      <c r="W98" s="1"/>
      <c r="X98" s="1"/>
      <c r="Y98" s="1"/>
    </row>
    <row r="99" spans="1:25">
      <c r="A99" s="1"/>
      <c r="B99" s="1"/>
      <c r="C99" s="1"/>
      <c r="D99" s="1"/>
      <c r="E99" s="1"/>
      <c r="F99" s="1"/>
      <c r="G99" s="1"/>
      <c r="H99" s="1"/>
      <c r="I99" s="1"/>
      <c r="J99" s="1"/>
      <c r="K99" s="1"/>
      <c r="L99" s="1"/>
      <c r="M99" s="1"/>
      <c r="N99" s="1"/>
      <c r="O99" s="1"/>
      <c r="P99" s="1"/>
      <c r="Q99" s="1"/>
      <c r="R99" s="1"/>
      <c r="S99" s="1"/>
      <c r="T99" s="1"/>
      <c r="U99" s="1"/>
      <c r="V99" s="1"/>
      <c r="W99" s="1"/>
      <c r="X99" s="1"/>
      <c r="Y99" s="1"/>
    </row>
    <row r="100" spans="1: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c r="A132" s="1"/>
    </row>
    <row r="133" spans="1:25">
      <c r="A133" s="1"/>
    </row>
    <row r="134" spans="1:25">
      <c r="A134" s="1"/>
    </row>
    <row r="135" spans="1:25">
      <c r="A135" s="1"/>
    </row>
    <row r="136" spans="1:25">
      <c r="A136" s="1"/>
    </row>
    <row r="137" spans="1:25">
      <c r="A137" s="1"/>
    </row>
    <row r="138" spans="1:25">
      <c r="A138" s="1"/>
    </row>
    <row r="139" spans="1:25">
      <c r="A139" s="1"/>
    </row>
    <row r="140" spans="1:25">
      <c r="A140" s="1"/>
    </row>
    <row r="141" spans="1:25">
      <c r="A141" s="1"/>
    </row>
  </sheetData>
  <hyperlinks>
    <hyperlink ref="F8" r:id="rId1" xr:uid="{5414A08D-C54B-8F40-BE42-6E502704A6AB}"/>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0"/>
  <sheetViews>
    <sheetView topLeftCell="A31" zoomScale="110" zoomScaleNormal="110" workbookViewId="0"/>
  </sheetViews>
  <sheetFormatPr baseColWidth="10" defaultRowHeight="16"/>
  <cols>
    <col min="1" max="1" width="5" customWidth="1"/>
    <col min="2" max="2" width="6.6640625" customWidth="1"/>
  </cols>
  <sheetData>
    <row r="1" spans="1:30">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c r="A2" s="1"/>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0" ht="21">
      <c r="A3" s="1"/>
      <c r="B3" s="1"/>
      <c r="C3" s="1"/>
      <c r="D3" s="1"/>
      <c r="E3" s="1"/>
      <c r="F3" s="1"/>
      <c r="G3" s="1"/>
      <c r="H3" s="1"/>
      <c r="I3" s="1"/>
      <c r="J3" s="1"/>
      <c r="K3" s="1"/>
      <c r="L3" s="1"/>
      <c r="M3" s="1"/>
      <c r="N3" s="1"/>
      <c r="O3" s="1"/>
      <c r="P3" s="1"/>
      <c r="Q3" s="1"/>
      <c r="R3" s="1"/>
      <c r="S3" s="36" t="s">
        <v>99</v>
      </c>
      <c r="T3" s="1"/>
      <c r="U3" s="1"/>
      <c r="V3" s="1"/>
      <c r="W3" s="1"/>
      <c r="X3" s="1"/>
      <c r="Y3" s="1"/>
      <c r="Z3" s="1"/>
      <c r="AA3" s="1"/>
      <c r="AB3" s="1"/>
      <c r="AC3" s="1"/>
      <c r="AD3" s="1"/>
    </row>
    <row r="4" spans="1:30">
      <c r="A4" s="1"/>
      <c r="B4" s="1"/>
      <c r="C4" s="1"/>
      <c r="D4" s="1"/>
      <c r="E4" s="1"/>
      <c r="F4" s="1"/>
      <c r="G4" s="1"/>
      <c r="H4" s="1"/>
      <c r="I4" s="1"/>
      <c r="J4" s="1"/>
      <c r="K4" s="1"/>
      <c r="L4" s="1"/>
      <c r="M4" s="1"/>
      <c r="N4" s="1"/>
      <c r="O4" s="1"/>
      <c r="P4" s="1"/>
      <c r="Q4" s="1"/>
      <c r="R4" s="1"/>
      <c r="S4" s="1"/>
      <c r="T4" s="1"/>
      <c r="U4" s="1"/>
      <c r="V4" s="1"/>
      <c r="W4" s="1"/>
      <c r="X4" s="1"/>
      <c r="Y4" s="1"/>
      <c r="Z4" s="1"/>
      <c r="AA4" s="1"/>
      <c r="AB4" s="1"/>
      <c r="AC4" s="1"/>
      <c r="AD4" s="1"/>
    </row>
    <row r="5" spans="1:30">
      <c r="A5" s="1"/>
      <c r="B5" s="1"/>
      <c r="C5" s="1"/>
      <c r="D5" s="1"/>
      <c r="E5" s="1"/>
      <c r="F5" s="1"/>
      <c r="G5" s="1"/>
      <c r="H5" s="1"/>
      <c r="I5" s="1"/>
      <c r="J5" s="1"/>
      <c r="K5" s="1"/>
      <c r="L5" s="1"/>
      <c r="M5" s="1"/>
      <c r="N5" s="1"/>
      <c r="O5" s="1"/>
      <c r="P5" s="1"/>
      <c r="Q5" s="1"/>
      <c r="R5" s="1"/>
      <c r="S5" s="1"/>
      <c r="T5" s="4" t="s">
        <v>95</v>
      </c>
      <c r="U5" s="1"/>
      <c r="V5" s="1"/>
      <c r="W5" s="1"/>
      <c r="X5" s="1"/>
      <c r="Y5" s="1"/>
      <c r="Z5" s="1"/>
      <c r="AA5" s="1"/>
      <c r="AB5" s="1"/>
      <c r="AC5" s="1"/>
      <c r="AD5" s="1"/>
    </row>
    <row r="6" spans="1:30">
      <c r="A6" s="1"/>
      <c r="B6" s="1"/>
      <c r="C6" s="1"/>
      <c r="D6" s="1"/>
      <c r="E6" s="1"/>
      <c r="F6" s="1"/>
      <c r="G6" s="1"/>
      <c r="H6" s="1"/>
      <c r="I6" s="1"/>
      <c r="J6" s="1"/>
      <c r="K6" s="1"/>
      <c r="L6" s="1"/>
      <c r="M6" s="1"/>
      <c r="N6" s="1"/>
      <c r="O6" s="1"/>
      <c r="P6" s="1"/>
      <c r="Q6" s="1"/>
      <c r="R6" s="1"/>
      <c r="S6" s="1">
        <v>2025</v>
      </c>
      <c r="T6" s="25">
        <f>Calculations!D129</f>
        <v>390.76293619392504</v>
      </c>
      <c r="U6" s="1" t="s">
        <v>29</v>
      </c>
      <c r="V6" s="1"/>
      <c r="W6" s="1"/>
      <c r="X6" s="1"/>
      <c r="Y6" s="1"/>
      <c r="Z6" s="1"/>
      <c r="AA6" s="1"/>
      <c r="AB6" s="1"/>
      <c r="AC6" s="1"/>
      <c r="AD6" s="1"/>
    </row>
    <row r="7" spans="1:30">
      <c r="A7" s="1"/>
      <c r="B7" s="1"/>
      <c r="C7" s="1"/>
      <c r="D7" s="1"/>
      <c r="E7" s="1"/>
      <c r="F7" s="1"/>
      <c r="G7" s="1"/>
      <c r="H7" s="1"/>
      <c r="I7" s="1"/>
      <c r="J7" s="1"/>
      <c r="K7" s="1"/>
      <c r="L7" s="1"/>
      <c r="M7" s="1"/>
      <c r="N7" s="1"/>
      <c r="O7" s="1"/>
      <c r="P7" s="1"/>
      <c r="Q7" s="1"/>
      <c r="R7" s="1"/>
      <c r="S7" s="1">
        <v>2030</v>
      </c>
      <c r="T7" s="25">
        <f ca="1">Calculations!E129</f>
        <v>138.88774863708454</v>
      </c>
      <c r="U7" s="1" t="s">
        <v>29</v>
      </c>
      <c r="V7" s="1"/>
      <c r="W7" s="1"/>
      <c r="X7" s="1"/>
      <c r="Y7" s="1"/>
      <c r="Z7" s="1"/>
      <c r="AA7" s="1"/>
      <c r="AB7" s="1"/>
      <c r="AC7" s="1"/>
      <c r="AD7" s="1"/>
    </row>
    <row r="8" spans="1:30">
      <c r="A8" s="1"/>
      <c r="B8" s="1"/>
      <c r="C8" s="1"/>
      <c r="D8" s="1"/>
      <c r="E8" s="1"/>
      <c r="F8" s="1"/>
      <c r="G8" s="1"/>
      <c r="H8" s="1"/>
      <c r="I8" s="1"/>
      <c r="J8" s="1"/>
      <c r="K8" s="1"/>
      <c r="L8" s="1"/>
      <c r="M8" s="1"/>
      <c r="N8" s="1"/>
      <c r="O8" s="1"/>
      <c r="P8" s="1"/>
      <c r="Q8" s="1"/>
      <c r="R8" s="1"/>
      <c r="S8" s="1">
        <v>2035</v>
      </c>
      <c r="T8" s="25">
        <f ca="1">Calculations!F129</f>
        <v>0</v>
      </c>
      <c r="U8" s="1" t="s">
        <v>29</v>
      </c>
      <c r="V8" s="1"/>
      <c r="W8" s="1"/>
      <c r="X8" s="1"/>
      <c r="Y8" s="1"/>
      <c r="Z8" s="1"/>
      <c r="AA8" s="1"/>
      <c r="AB8" s="1"/>
      <c r="AC8" s="1"/>
      <c r="AD8" s="1"/>
    </row>
    <row r="9" spans="1:30">
      <c r="A9" s="1"/>
      <c r="B9" s="1"/>
      <c r="C9" s="1"/>
      <c r="D9" s="1"/>
      <c r="E9" s="1"/>
      <c r="F9" s="1"/>
      <c r="G9" s="1"/>
      <c r="H9" s="1"/>
      <c r="I9" s="1"/>
      <c r="J9" s="1"/>
      <c r="K9" s="1"/>
      <c r="L9" s="1"/>
      <c r="M9" s="1"/>
      <c r="N9" s="1"/>
      <c r="O9" s="1"/>
      <c r="P9" s="1"/>
      <c r="Q9" s="1"/>
      <c r="R9" s="1"/>
      <c r="S9" s="1"/>
      <c r="T9" s="1"/>
      <c r="U9" s="1"/>
      <c r="V9" s="1"/>
      <c r="W9" s="1"/>
      <c r="X9" s="1"/>
      <c r="Y9" s="1"/>
      <c r="Z9" s="1"/>
      <c r="AA9" s="1"/>
      <c r="AB9" s="1"/>
      <c r="AC9" s="1"/>
      <c r="AD9" s="1"/>
    </row>
    <row r="10" spans="1:30">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row>
    <row r="11" spans="1:30">
      <c r="A11" s="1"/>
      <c r="B11" s="1"/>
      <c r="C11" s="1"/>
      <c r="D11" s="1"/>
      <c r="E11" s="1"/>
      <c r="F11" s="1"/>
      <c r="G11" s="1"/>
      <c r="H11" s="1"/>
      <c r="I11" s="1"/>
      <c r="J11" s="1"/>
      <c r="K11" s="1"/>
      <c r="L11" s="1"/>
      <c r="M11" s="1"/>
      <c r="N11" s="1"/>
      <c r="O11" s="1"/>
      <c r="P11" s="1"/>
      <c r="Q11" s="1"/>
      <c r="R11" s="1"/>
      <c r="S11" s="1"/>
      <c r="T11" s="4" t="s">
        <v>96</v>
      </c>
      <c r="U11" s="1"/>
      <c r="V11" s="1"/>
      <c r="W11" s="1"/>
      <c r="X11" s="1"/>
      <c r="Y11" s="1"/>
      <c r="Z11" s="1"/>
      <c r="AA11" s="1"/>
      <c r="AB11" s="1"/>
      <c r="AC11" s="1"/>
      <c r="AD11" s="1"/>
    </row>
    <row r="12" spans="1:30">
      <c r="A12" s="1"/>
      <c r="B12" s="1"/>
      <c r="C12" s="1"/>
      <c r="D12" s="1"/>
      <c r="E12" s="1"/>
      <c r="F12" s="1"/>
      <c r="G12" s="1"/>
      <c r="H12" s="1"/>
      <c r="I12" s="1"/>
      <c r="J12" s="1"/>
      <c r="K12" s="1"/>
      <c r="L12" s="1"/>
      <c r="M12" s="1"/>
      <c r="N12" s="1"/>
      <c r="O12" s="1"/>
      <c r="P12" s="1"/>
      <c r="Q12" s="1"/>
      <c r="R12" s="1"/>
      <c r="S12" s="1">
        <v>2025</v>
      </c>
      <c r="T12" s="25">
        <f>G35*T6/1000</f>
        <v>39.076293619392509</v>
      </c>
      <c r="U12" s="1" t="s">
        <v>39</v>
      </c>
      <c r="V12" s="1"/>
      <c r="W12" s="1"/>
      <c r="X12" s="1"/>
      <c r="Y12" s="1"/>
      <c r="Z12" s="1"/>
      <c r="AA12" s="1"/>
      <c r="AB12" s="1"/>
      <c r="AC12" s="1"/>
      <c r="AD12" s="1"/>
    </row>
    <row r="13" spans="1:30">
      <c r="A13" s="1"/>
      <c r="B13" s="1"/>
      <c r="C13" s="1"/>
      <c r="D13" s="1"/>
      <c r="E13" s="1"/>
      <c r="F13" s="1"/>
      <c r="G13" s="1"/>
      <c r="H13" s="1"/>
      <c r="I13" s="1"/>
      <c r="J13" s="1"/>
      <c r="K13" s="1"/>
      <c r="L13" s="1"/>
      <c r="M13" s="1"/>
      <c r="N13" s="1"/>
      <c r="O13" s="1"/>
      <c r="P13" s="1"/>
      <c r="Q13" s="1"/>
      <c r="R13" s="1"/>
      <c r="S13" s="1">
        <v>2030</v>
      </c>
      <c r="T13" s="25">
        <f ca="1">H35*T7/1000</f>
        <v>41.66632459112536</v>
      </c>
      <c r="U13" s="1" t="s">
        <v>39</v>
      </c>
      <c r="V13" s="1"/>
      <c r="W13" s="1"/>
      <c r="X13" s="1"/>
      <c r="Y13" s="1"/>
      <c r="Z13" s="1"/>
      <c r="AA13" s="1"/>
      <c r="AB13" s="1"/>
      <c r="AC13" s="1"/>
      <c r="AD13" s="1"/>
    </row>
    <row r="14" spans="1:30">
      <c r="A14" s="1"/>
      <c r="B14" s="1"/>
      <c r="C14" s="1"/>
      <c r="D14" s="1"/>
      <c r="E14" s="1"/>
      <c r="F14" s="1"/>
      <c r="G14" s="1"/>
      <c r="H14" s="1"/>
      <c r="I14" s="1"/>
      <c r="J14" s="1"/>
      <c r="K14" s="1"/>
      <c r="L14" s="1"/>
      <c r="M14" s="1"/>
      <c r="N14" s="1"/>
      <c r="O14" s="1"/>
      <c r="P14" s="1"/>
      <c r="Q14" s="1"/>
      <c r="R14" s="1"/>
      <c r="S14" s="1">
        <v>2035</v>
      </c>
      <c r="T14" s="25">
        <f ca="1">I35*T8/1000</f>
        <v>0</v>
      </c>
      <c r="U14" s="1" t="s">
        <v>39</v>
      </c>
      <c r="V14" s="1"/>
      <c r="W14" s="1"/>
      <c r="X14" s="1"/>
      <c r="Y14" s="1"/>
      <c r="Z14" s="1"/>
      <c r="AA14" s="1"/>
      <c r="AB14" s="1"/>
      <c r="AC14" s="1"/>
      <c r="AD14" s="1"/>
    </row>
    <row r="15" spans="1:30">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row>
    <row r="16" spans="1:30">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row>
    <row r="17" spans="1:30">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row>
    <row r="18" spans="1:30">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row>
    <row r="19" spans="1:30">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row>
    <row r="20" spans="1:30">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row>
    <row r="21" spans="1:30">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row>
    <row r="22" spans="1:30">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row>
    <row r="23" spans="1:30">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row>
    <row r="24" spans="1:30" ht="21">
      <c r="A24" s="1"/>
      <c r="B24" s="1"/>
      <c r="C24" s="34" t="s">
        <v>100</v>
      </c>
      <c r="D24" s="14"/>
      <c r="E24" s="14"/>
      <c r="F24" s="14"/>
      <c r="G24" s="14"/>
      <c r="H24" s="14"/>
      <c r="I24" s="14"/>
      <c r="J24" s="14"/>
      <c r="K24" s="15"/>
      <c r="L24" s="14"/>
      <c r="M24" s="14"/>
      <c r="N24" s="14"/>
      <c r="O24" s="14"/>
      <c r="P24" s="15"/>
      <c r="Q24" s="13"/>
      <c r="R24" s="14"/>
      <c r="S24" s="14"/>
      <c r="T24" s="14"/>
      <c r="U24" s="15"/>
      <c r="V24" s="1"/>
      <c r="W24" s="1"/>
      <c r="X24" s="1"/>
      <c r="Y24" s="1"/>
      <c r="Z24" s="1"/>
      <c r="AA24" s="1"/>
      <c r="AB24" s="1"/>
      <c r="AC24" s="1"/>
      <c r="AD24" s="1"/>
    </row>
    <row r="25" spans="1:30">
      <c r="A25" s="1"/>
      <c r="B25" s="1"/>
      <c r="C25" s="16"/>
      <c r="D25" s="2" t="s">
        <v>87</v>
      </c>
      <c r="E25" s="2"/>
      <c r="F25" s="3"/>
      <c r="G25" s="3"/>
      <c r="H25" s="3"/>
      <c r="I25" s="3"/>
      <c r="J25" s="3"/>
      <c r="K25" s="17"/>
      <c r="L25" s="3"/>
      <c r="M25" s="2" t="s">
        <v>59</v>
      </c>
      <c r="N25" s="2"/>
      <c r="O25" s="3"/>
      <c r="P25" s="17"/>
      <c r="Q25" s="16"/>
      <c r="R25" s="2" t="s">
        <v>60</v>
      </c>
      <c r="S25" s="3"/>
      <c r="T25" s="3"/>
      <c r="U25" s="17"/>
      <c r="V25" s="1"/>
      <c r="W25" s="1"/>
      <c r="X25" s="1"/>
      <c r="Y25" s="1"/>
      <c r="Z25" s="1"/>
      <c r="AA25" s="1"/>
      <c r="AB25" s="1"/>
      <c r="AC25" s="1"/>
      <c r="AD25" s="1"/>
    </row>
    <row r="26" spans="1:30">
      <c r="A26" s="1"/>
      <c r="B26" s="1"/>
      <c r="C26" s="16"/>
      <c r="D26" s="2"/>
      <c r="E26" s="2"/>
      <c r="F26" s="3"/>
      <c r="G26" s="3"/>
      <c r="H26" s="3"/>
      <c r="I26" s="3"/>
      <c r="J26" s="3"/>
      <c r="K26" s="17"/>
      <c r="L26" s="3"/>
      <c r="M26" s="2"/>
      <c r="N26" s="2"/>
      <c r="O26" s="3"/>
      <c r="P26" s="17"/>
      <c r="Q26" s="16"/>
      <c r="R26" s="2"/>
      <c r="S26" s="3"/>
      <c r="T26" s="3"/>
      <c r="U26" s="17"/>
      <c r="V26" s="1"/>
      <c r="W26" s="1"/>
      <c r="X26" s="1"/>
      <c r="Y26" s="1"/>
      <c r="Z26" s="1"/>
      <c r="AA26" s="1"/>
      <c r="AB26" s="1"/>
      <c r="AC26" s="1"/>
      <c r="AD26" s="1"/>
    </row>
    <row r="27" spans="1:30">
      <c r="A27" s="1"/>
      <c r="B27" s="1"/>
      <c r="C27" s="16"/>
      <c r="D27" s="3"/>
      <c r="E27" s="3"/>
      <c r="F27" s="3"/>
      <c r="G27" s="3">
        <v>2025</v>
      </c>
      <c r="H27" s="3">
        <v>2030</v>
      </c>
      <c r="I27" s="3">
        <v>2035</v>
      </c>
      <c r="J27" s="3"/>
      <c r="K27" s="17"/>
      <c r="L27" s="3"/>
      <c r="M27" s="3"/>
      <c r="N27" s="3"/>
      <c r="O27" s="3"/>
      <c r="P27" s="17"/>
      <c r="Q27" s="16"/>
      <c r="R27" s="3"/>
      <c r="S27" s="3"/>
      <c r="T27" s="3"/>
      <c r="U27" s="17"/>
      <c r="V27" s="1"/>
      <c r="W27" s="1"/>
      <c r="X27" s="1"/>
      <c r="Y27" s="1"/>
      <c r="Z27" s="1"/>
      <c r="AA27" s="1"/>
      <c r="AB27" s="1"/>
      <c r="AC27" s="1"/>
      <c r="AD27" s="1"/>
    </row>
    <row r="28" spans="1:30">
      <c r="A28" s="1"/>
      <c r="B28" s="1"/>
      <c r="C28" s="16"/>
      <c r="D28" s="3" t="s">
        <v>25</v>
      </c>
      <c r="E28" s="3"/>
      <c r="F28" s="3"/>
      <c r="G28" s="18">
        <v>25</v>
      </c>
      <c r="H28" s="18">
        <v>25</v>
      </c>
      <c r="I28" s="18">
        <v>25</v>
      </c>
      <c r="J28" s="3" t="s">
        <v>76</v>
      </c>
      <c r="K28" s="17"/>
      <c r="L28" s="3"/>
      <c r="M28" s="3" t="s">
        <v>86</v>
      </c>
      <c r="N28" s="3"/>
      <c r="O28" s="18">
        <v>0.06</v>
      </c>
      <c r="P28" s="17"/>
      <c r="Q28" s="16"/>
      <c r="R28" s="3" t="s">
        <v>62</v>
      </c>
      <c r="S28" s="3">
        <v>46.5</v>
      </c>
      <c r="T28" s="3" t="s">
        <v>63</v>
      </c>
      <c r="U28" s="17"/>
      <c r="V28" s="1"/>
      <c r="W28" s="1"/>
      <c r="X28" s="1"/>
      <c r="Y28" s="1"/>
      <c r="Z28" s="1"/>
      <c r="AA28" s="1"/>
      <c r="AB28" s="1"/>
      <c r="AC28" s="1"/>
      <c r="AD28" s="1"/>
    </row>
    <row r="29" spans="1:30">
      <c r="A29" s="1"/>
      <c r="B29" s="1"/>
      <c r="C29" s="16"/>
      <c r="D29" s="3" t="s">
        <v>23</v>
      </c>
      <c r="E29" s="3"/>
      <c r="F29" s="3"/>
      <c r="G29" s="18">
        <v>50</v>
      </c>
      <c r="H29" s="18">
        <v>50</v>
      </c>
      <c r="I29" s="18">
        <v>50</v>
      </c>
      <c r="J29" s="3" t="s">
        <v>76</v>
      </c>
      <c r="K29" s="17"/>
      <c r="L29" s="3"/>
      <c r="M29" s="3" t="s">
        <v>81</v>
      </c>
      <c r="N29" s="3"/>
      <c r="O29" s="18">
        <v>7.0000000000000007E-2</v>
      </c>
      <c r="P29" s="17"/>
      <c r="Q29" s="16"/>
      <c r="R29" s="3" t="s">
        <v>65</v>
      </c>
      <c r="S29" s="7">
        <v>33.39</v>
      </c>
      <c r="T29" s="3" t="s">
        <v>66</v>
      </c>
      <c r="U29" s="17"/>
      <c r="V29" s="1"/>
      <c r="W29" s="1"/>
      <c r="X29" s="1"/>
      <c r="Y29" s="1"/>
      <c r="Z29" s="1"/>
      <c r="AA29" s="1"/>
      <c r="AB29" s="1"/>
      <c r="AC29" s="1"/>
      <c r="AD29" s="1"/>
    </row>
    <row r="30" spans="1:30">
      <c r="A30" s="1"/>
      <c r="B30" s="1"/>
      <c r="C30" s="16"/>
      <c r="D30" s="1" t="s">
        <v>64</v>
      </c>
      <c r="E30" s="1"/>
      <c r="F30" s="1"/>
      <c r="G30" s="18">
        <f>0.75*G29</f>
        <v>37.5</v>
      </c>
      <c r="H30" s="18">
        <f>0.75*H29</f>
        <v>37.5</v>
      </c>
      <c r="I30" s="18">
        <f>0.75*I29</f>
        <v>37.5</v>
      </c>
      <c r="J30" s="3" t="s">
        <v>76</v>
      </c>
      <c r="K30" s="17"/>
      <c r="L30" s="3"/>
      <c r="M30" s="3"/>
      <c r="N30" s="3"/>
      <c r="O30" s="3"/>
      <c r="P30" s="17"/>
      <c r="Q30" s="16"/>
      <c r="R30" s="3" t="s">
        <v>68</v>
      </c>
      <c r="S30" s="7">
        <v>39.405000000000001</v>
      </c>
      <c r="T30" s="3" t="s">
        <v>66</v>
      </c>
      <c r="U30" s="17"/>
      <c r="V30" s="1"/>
      <c r="W30" s="1"/>
      <c r="X30" s="1"/>
      <c r="Y30" s="1"/>
      <c r="Z30" s="1"/>
      <c r="AA30" s="1"/>
      <c r="AB30" s="1"/>
      <c r="AC30" s="1"/>
      <c r="AD30" s="1"/>
    </row>
    <row r="31" spans="1:30">
      <c r="A31" s="1"/>
      <c r="B31" s="1"/>
      <c r="C31" s="16"/>
      <c r="D31" s="1" t="s">
        <v>77</v>
      </c>
      <c r="E31" s="1"/>
      <c r="F31" s="1"/>
      <c r="G31" s="18">
        <v>32</v>
      </c>
      <c r="H31" s="18">
        <v>30</v>
      </c>
      <c r="I31" s="18">
        <v>25</v>
      </c>
      <c r="J31" s="3" t="s">
        <v>76</v>
      </c>
      <c r="K31" s="17"/>
      <c r="L31" s="3"/>
      <c r="M31" s="3" t="s">
        <v>105</v>
      </c>
      <c r="N31" s="3"/>
      <c r="O31" s="3"/>
      <c r="P31" s="17"/>
      <c r="Q31" s="16"/>
      <c r="R31" s="1"/>
      <c r="S31" s="1"/>
      <c r="T31" s="1"/>
      <c r="U31" s="17"/>
      <c r="V31" s="1"/>
      <c r="W31" s="1"/>
      <c r="X31" s="1"/>
      <c r="Y31" s="1"/>
      <c r="Z31" s="1"/>
      <c r="AA31" s="1"/>
      <c r="AB31" s="1"/>
      <c r="AC31" s="1"/>
      <c r="AD31" s="1"/>
    </row>
    <row r="32" spans="1:30">
      <c r="A32" s="1"/>
      <c r="B32" s="1"/>
      <c r="C32" s="16"/>
      <c r="D32" s="3" t="s">
        <v>27</v>
      </c>
      <c r="E32" s="3"/>
      <c r="F32" s="3"/>
      <c r="G32" s="18">
        <v>27</v>
      </c>
      <c r="H32" s="18">
        <v>27</v>
      </c>
      <c r="I32" s="18">
        <v>27</v>
      </c>
      <c r="J32" s="3" t="s">
        <v>67</v>
      </c>
      <c r="K32" s="17"/>
      <c r="L32" s="3"/>
      <c r="M32" s="3" t="s">
        <v>106</v>
      </c>
      <c r="N32" s="3"/>
      <c r="O32" s="30">
        <v>388</v>
      </c>
      <c r="P32" s="17" t="s">
        <v>29</v>
      </c>
      <c r="Q32" s="16"/>
      <c r="R32" s="1" t="s">
        <v>69</v>
      </c>
      <c r="S32" s="1">
        <v>8.49</v>
      </c>
      <c r="T32" s="1" t="s">
        <v>70</v>
      </c>
      <c r="U32" s="17"/>
      <c r="V32" s="1"/>
      <c r="W32" s="1"/>
      <c r="X32" s="1"/>
      <c r="Y32" s="1"/>
      <c r="Z32" s="1"/>
      <c r="AA32" s="1"/>
      <c r="AB32" s="1"/>
      <c r="AC32" s="1"/>
      <c r="AD32" s="1"/>
    </row>
    <row r="33" spans="1:30">
      <c r="A33" s="1"/>
      <c r="B33" s="1"/>
      <c r="C33" s="16"/>
      <c r="D33" s="3" t="s">
        <v>102</v>
      </c>
      <c r="E33" s="3"/>
      <c r="F33" s="3"/>
      <c r="G33" s="30">
        <v>25</v>
      </c>
      <c r="H33" s="30">
        <v>35</v>
      </c>
      <c r="I33" s="30">
        <v>50</v>
      </c>
      <c r="J33" s="3" t="s">
        <v>67</v>
      </c>
      <c r="K33" s="17"/>
      <c r="L33" s="3"/>
      <c r="M33" s="3" t="s">
        <v>144</v>
      </c>
      <c r="N33" s="3"/>
      <c r="O33" s="30">
        <v>1074</v>
      </c>
      <c r="P33" s="17" t="s">
        <v>29</v>
      </c>
      <c r="Q33" s="16"/>
      <c r="R33" s="1"/>
      <c r="S33" s="3"/>
      <c r="T33" s="1"/>
      <c r="U33" s="17"/>
      <c r="V33" s="1"/>
      <c r="W33" s="1"/>
      <c r="X33" s="1"/>
      <c r="Y33" s="1"/>
      <c r="Z33" s="1"/>
      <c r="AA33" s="1"/>
      <c r="AB33" s="1"/>
      <c r="AC33" s="1"/>
      <c r="AD33" s="1"/>
    </row>
    <row r="34" spans="1:30">
      <c r="A34" s="1"/>
      <c r="B34" s="1"/>
      <c r="C34" s="16"/>
      <c r="D34" s="3"/>
      <c r="E34" s="3"/>
      <c r="F34" s="3"/>
      <c r="G34" s="3"/>
      <c r="H34" s="3"/>
      <c r="I34" s="3"/>
      <c r="J34" s="3"/>
      <c r="K34" s="17"/>
      <c r="L34" s="3"/>
      <c r="M34" s="3" t="s">
        <v>107</v>
      </c>
      <c r="N34" s="3"/>
      <c r="O34" s="30">
        <v>1529</v>
      </c>
      <c r="P34" s="17" t="s">
        <v>29</v>
      </c>
      <c r="Q34" s="16"/>
      <c r="R34" s="1"/>
      <c r="S34" s="3"/>
      <c r="T34" s="1"/>
      <c r="U34" s="17"/>
      <c r="V34" s="1"/>
      <c r="W34" s="1"/>
      <c r="X34" s="1"/>
      <c r="Y34" s="1"/>
      <c r="Z34" s="1"/>
      <c r="AA34" s="1"/>
      <c r="AB34" s="1"/>
      <c r="AC34" s="1"/>
      <c r="AD34" s="1"/>
    </row>
    <row r="35" spans="1:30">
      <c r="A35" s="1"/>
      <c r="B35" s="1"/>
      <c r="C35" s="16"/>
      <c r="D35" s="3" t="s">
        <v>114</v>
      </c>
      <c r="E35" s="3"/>
      <c r="F35" s="3"/>
      <c r="G35" s="18">
        <v>100</v>
      </c>
      <c r="H35" s="18">
        <v>300</v>
      </c>
      <c r="I35" s="18">
        <v>750</v>
      </c>
      <c r="J35" s="3" t="s">
        <v>97</v>
      </c>
      <c r="K35" s="17"/>
      <c r="L35" s="3"/>
      <c r="M35" s="3" t="s">
        <v>108</v>
      </c>
      <c r="N35" s="3"/>
      <c r="O35" s="30">
        <v>630</v>
      </c>
      <c r="P35" s="17" t="s">
        <v>29</v>
      </c>
      <c r="Q35" s="16"/>
      <c r="R35" s="1"/>
      <c r="S35" s="3"/>
      <c r="T35" s="1"/>
      <c r="U35" s="17"/>
      <c r="V35" s="1"/>
      <c r="W35" s="1"/>
      <c r="X35" s="1"/>
      <c r="Y35" s="1"/>
      <c r="Z35" s="1"/>
      <c r="AA35" s="1"/>
      <c r="AB35" s="1"/>
      <c r="AC35" s="1"/>
      <c r="AD35" s="1"/>
    </row>
    <row r="36" spans="1:30">
      <c r="A36" s="1"/>
      <c r="B36" s="1"/>
      <c r="C36" s="16"/>
      <c r="D36" s="3" t="s">
        <v>104</v>
      </c>
      <c r="E36" s="3"/>
      <c r="F36" s="3"/>
      <c r="G36" s="18" t="s">
        <v>144</v>
      </c>
      <c r="H36" s="18" t="s">
        <v>144</v>
      </c>
      <c r="I36" s="18" t="s">
        <v>106</v>
      </c>
      <c r="J36" s="3"/>
      <c r="K36" s="17"/>
      <c r="L36" s="3"/>
      <c r="M36" s="3"/>
      <c r="N36" s="3"/>
      <c r="O36" s="3"/>
      <c r="P36" s="17"/>
      <c r="Q36" s="16"/>
      <c r="R36" s="1"/>
      <c r="S36" s="3"/>
      <c r="T36" s="1"/>
      <c r="U36" s="17"/>
      <c r="V36" s="1"/>
      <c r="W36" s="1"/>
      <c r="X36" s="1"/>
      <c r="Y36" s="1"/>
      <c r="Z36" s="1"/>
      <c r="AA36" s="1"/>
      <c r="AB36" s="1"/>
      <c r="AC36" s="1"/>
      <c r="AD36" s="1"/>
    </row>
    <row r="37" spans="1:30">
      <c r="A37" s="1"/>
      <c r="B37" s="1"/>
      <c r="C37" s="16"/>
      <c r="D37" s="3" t="s">
        <v>98</v>
      </c>
      <c r="E37" s="3"/>
      <c r="F37" s="1"/>
      <c r="G37" s="30">
        <v>0</v>
      </c>
      <c r="H37" s="30">
        <v>0</v>
      </c>
      <c r="I37" s="30">
        <v>0</v>
      </c>
      <c r="J37" s="3" t="s">
        <v>61</v>
      </c>
      <c r="K37" s="17"/>
      <c r="L37" s="3"/>
      <c r="M37" s="3"/>
      <c r="N37" s="3"/>
      <c r="O37" s="3"/>
      <c r="P37" s="17"/>
      <c r="Q37" s="16"/>
      <c r="R37" s="1"/>
      <c r="S37" s="3"/>
      <c r="T37" s="1"/>
      <c r="U37" s="17"/>
      <c r="V37" s="1"/>
      <c r="W37" s="1"/>
      <c r="X37" s="1"/>
      <c r="Y37" s="1"/>
      <c r="Z37" s="1"/>
      <c r="AA37" s="1"/>
      <c r="AB37" s="1"/>
      <c r="AC37" s="1"/>
      <c r="AD37" s="1"/>
    </row>
    <row r="38" spans="1:30">
      <c r="A38" s="1"/>
      <c r="B38" s="1"/>
      <c r="C38" s="19"/>
      <c r="D38" s="20"/>
      <c r="E38" s="20"/>
      <c r="F38" s="20"/>
      <c r="G38" s="20"/>
      <c r="H38" s="20"/>
      <c r="I38" s="20"/>
      <c r="J38" s="20"/>
      <c r="K38" s="21"/>
      <c r="L38" s="20"/>
      <c r="M38" s="20"/>
      <c r="N38" s="20"/>
      <c r="O38" s="20"/>
      <c r="P38" s="21"/>
      <c r="Q38" s="19"/>
      <c r="R38" s="20"/>
      <c r="S38" s="20"/>
      <c r="T38" s="20"/>
      <c r="U38" s="21"/>
      <c r="V38" s="1"/>
      <c r="W38" s="1"/>
      <c r="X38" s="1"/>
      <c r="Y38" s="1"/>
      <c r="Z38" s="1"/>
      <c r="AA38" s="1"/>
      <c r="AB38" s="1"/>
      <c r="AC38" s="1"/>
      <c r="AD38" s="1"/>
    </row>
    <row r="39" spans="1:30">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row>
    <row r="40" spans="1:30">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row>
    <row r="41" spans="1:30">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30">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spans="1:30">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row>
    <row r="44" spans="1:30">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row>
    <row r="45" spans="1:30">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row>
    <row r="46" spans="1:30">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row>
    <row r="47" spans="1:30">
      <c r="A47" s="1"/>
      <c r="B47" s="1"/>
      <c r="C47" s="1"/>
      <c r="D47" s="1"/>
      <c r="E47" s="1"/>
      <c r="F47" s="1"/>
      <c r="G47" s="1"/>
      <c r="H47" s="1"/>
      <c r="I47" s="1"/>
      <c r="J47" s="1"/>
      <c r="K47" s="1"/>
      <c r="L47" s="1"/>
      <c r="M47" s="1"/>
      <c r="N47" s="1"/>
      <c r="O47" s="1"/>
      <c r="P47" s="1"/>
      <c r="Q47" s="1"/>
      <c r="R47" s="1"/>
      <c r="S47" s="1"/>
      <c r="T47" s="1"/>
      <c r="U47" s="1"/>
      <c r="V47" s="6"/>
      <c r="W47" s="1"/>
      <c r="X47" s="1"/>
      <c r="Y47" s="1"/>
      <c r="Z47" s="1"/>
      <c r="AA47" s="1"/>
      <c r="AB47" s="1"/>
      <c r="AC47" s="1"/>
    </row>
    <row r="48" spans="1:30">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spans="1:29">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c r="A55" s="1"/>
      <c r="B55" s="1"/>
      <c r="C55" s="1"/>
      <c r="D55" s="1"/>
      <c r="E55" s="1"/>
      <c r="F55" s="1"/>
      <c r="G55" s="1"/>
      <c r="H55" s="1"/>
      <c r="I55" s="1"/>
      <c r="J55" s="1"/>
      <c r="K55" s="1"/>
      <c r="L55" s="1"/>
      <c r="M55" s="1"/>
      <c r="N55" s="1"/>
      <c r="O55" s="1"/>
      <c r="P55" s="1"/>
      <c r="Q55" s="1"/>
      <c r="R55" s="1"/>
      <c r="S55" s="1"/>
      <c r="T55" s="1"/>
      <c r="U55" s="1"/>
      <c r="V55" s="6"/>
      <c r="W55" s="1"/>
      <c r="X55" s="1"/>
      <c r="Y55" s="1"/>
      <c r="Z55" s="1"/>
      <c r="AA55" s="1"/>
      <c r="AB55" s="1"/>
      <c r="AC55" s="1"/>
    </row>
    <row r="56" spans="1:29">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c r="A63" s="1"/>
      <c r="B63" s="1"/>
      <c r="C63" s="1"/>
      <c r="D63" s="1"/>
      <c r="E63" s="1"/>
      <c r="F63" s="1"/>
      <c r="G63" s="1"/>
      <c r="H63" s="1"/>
      <c r="I63" s="1"/>
      <c r="J63" s="1"/>
      <c r="K63" s="1"/>
      <c r="L63" s="1"/>
      <c r="M63" s="1"/>
      <c r="N63" s="1"/>
      <c r="O63" s="1"/>
      <c r="P63" s="1"/>
      <c r="Q63" s="1"/>
      <c r="R63" s="1"/>
      <c r="S63" s="1"/>
      <c r="T63" s="1"/>
      <c r="U63" s="1"/>
      <c r="V63" s="6"/>
      <c r="W63" s="1"/>
      <c r="X63" s="1"/>
      <c r="Y63" s="1"/>
      <c r="Z63" s="1"/>
      <c r="AA63" s="1"/>
      <c r="AB63" s="1"/>
      <c r="AC63" s="1"/>
    </row>
    <row r="64" spans="1:29">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c r="A71" s="1"/>
      <c r="B71" s="1"/>
      <c r="C71" s="1"/>
      <c r="D71" s="1"/>
      <c r="E71" s="1"/>
      <c r="F71" s="1"/>
      <c r="G71" s="1"/>
      <c r="H71" s="1"/>
      <c r="I71" s="1"/>
      <c r="J71" s="1"/>
      <c r="K71" s="1"/>
      <c r="L71" s="1"/>
      <c r="M71" s="1"/>
      <c r="N71" s="1"/>
      <c r="O71" s="1"/>
      <c r="P71" s="1"/>
      <c r="Q71" s="1"/>
      <c r="R71" s="1"/>
      <c r="S71" s="1"/>
      <c r="T71" s="1"/>
      <c r="U71" s="1"/>
      <c r="V71" s="6"/>
      <c r="W71" s="1"/>
      <c r="X71" s="1"/>
      <c r="Y71" s="1"/>
      <c r="Z71" s="1"/>
      <c r="AA71" s="1"/>
      <c r="AB71" s="1"/>
      <c r="AC71" s="1"/>
    </row>
    <row r="72" spans="1:29">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c r="A79" s="1"/>
      <c r="B79" s="1"/>
      <c r="C79" s="1"/>
      <c r="D79" s="1"/>
      <c r="E79" s="1"/>
      <c r="F79" s="1"/>
      <c r="G79" s="1"/>
      <c r="H79" s="1"/>
      <c r="I79" s="1"/>
      <c r="J79" s="1"/>
      <c r="K79" s="1"/>
      <c r="L79" s="1"/>
      <c r="M79" s="1"/>
      <c r="N79" s="1"/>
      <c r="O79" s="1"/>
      <c r="P79" s="1"/>
      <c r="Q79" s="1"/>
      <c r="R79" s="1"/>
      <c r="S79" s="1"/>
      <c r="T79" s="1"/>
      <c r="U79" s="1"/>
      <c r="V79" s="6"/>
      <c r="W79" s="1"/>
      <c r="X79" s="1"/>
      <c r="Y79" s="1"/>
      <c r="Z79" s="1"/>
      <c r="AA79" s="1"/>
      <c r="AB79" s="1"/>
      <c r="AC79" s="1"/>
    </row>
    <row r="80" spans="1:29">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147" spans="1:31">
      <c r="A147" s="1"/>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row>
    <row r="148" spans="1:31">
      <c r="A148" s="1"/>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row>
    <row r="149" spans="1:31">
      <c r="A149" s="1"/>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row>
    <row r="150" spans="1:31">
      <c r="A150" s="1"/>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row>
  </sheetData>
  <dataValidations disablePrompts="1" count="1">
    <dataValidation type="list" allowBlank="1" showInputMessage="1" showErrorMessage="1" sqref="G36:I36" xr:uid="{67D2A061-89CD-C544-83C3-92687F25CF96}">
      <formula1>$M$32:$M$35</formula1>
    </dataValidation>
  </dataValidations>
  <pageMargins left="0.7" right="0.7" top="0.75" bottom="0.75" header="0.3" footer="0.3"/>
  <pageSetup paperSize="9" orientation="portrait" horizontalDpi="0" verticalDpi="0"/>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59ADF-A9CF-AF4E-857B-E28611C33304}">
  <dimension ref="A1:AS141"/>
  <sheetViews>
    <sheetView workbookViewId="0">
      <pane xSplit="6" ySplit="10" topLeftCell="G11" activePane="bottomRight" state="frozen"/>
      <selection pane="topRight" activeCell="G1" sqref="G1"/>
      <selection pane="bottomLeft" activeCell="A11" sqref="A11"/>
      <selection pane="bottomRight"/>
    </sheetView>
  </sheetViews>
  <sheetFormatPr baseColWidth="10" defaultRowHeight="16"/>
  <cols>
    <col min="1" max="1" width="6.83203125" customWidth="1"/>
    <col min="4" max="4" width="17.6640625" customWidth="1"/>
    <col min="7" max="7" width="6.33203125" customWidth="1"/>
  </cols>
  <sheetData>
    <row r="1" spans="1:4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spans="1: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row>
    <row r="3" spans="1:45" ht="21">
      <c r="A3" s="1"/>
      <c r="B3" s="1"/>
      <c r="C3" s="35" t="s">
        <v>111</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spans="1:4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row>
    <row r="5" spans="1:45">
      <c r="A5" s="1"/>
      <c r="B5" s="1"/>
      <c r="C5" s="1"/>
      <c r="D5" s="1"/>
      <c r="E5" s="1"/>
      <c r="F5" s="1"/>
      <c r="G5" s="1"/>
      <c r="H5" s="1" t="s">
        <v>78</v>
      </c>
      <c r="I5" s="1"/>
      <c r="J5" s="1"/>
      <c r="K5" s="1" t="s">
        <v>79</v>
      </c>
      <c r="L5" s="1"/>
      <c r="M5" s="1"/>
      <c r="N5" s="1" t="s">
        <v>85</v>
      </c>
      <c r="O5" s="1"/>
      <c r="P5" s="1"/>
      <c r="Q5" s="1" t="s">
        <v>79</v>
      </c>
      <c r="R5" s="1"/>
      <c r="S5" s="1"/>
      <c r="T5" s="1" t="s">
        <v>85</v>
      </c>
      <c r="U5" s="1"/>
      <c r="V5" s="1"/>
      <c r="W5" s="1"/>
      <c r="X5" s="1"/>
      <c r="Y5" s="1"/>
      <c r="Z5" s="1" t="s">
        <v>80</v>
      </c>
      <c r="AA5" s="1"/>
      <c r="AB5" s="1"/>
      <c r="AC5" s="1"/>
      <c r="AD5" s="1"/>
      <c r="AE5" s="1"/>
      <c r="AF5" s="1"/>
      <c r="AG5" s="1"/>
      <c r="AH5" s="1"/>
      <c r="AI5" s="1"/>
      <c r="AJ5" s="1"/>
      <c r="AK5" s="1"/>
      <c r="AL5" s="1"/>
      <c r="AM5" s="1"/>
      <c r="AN5" s="1"/>
      <c r="AO5" s="1"/>
      <c r="AP5" s="1"/>
      <c r="AQ5" s="1"/>
      <c r="AR5" s="1"/>
      <c r="AS5" s="1"/>
    </row>
    <row r="6" spans="1:45">
      <c r="A6" s="1"/>
      <c r="B6" s="1"/>
      <c r="C6" s="1"/>
      <c r="D6" s="2" t="s">
        <v>115</v>
      </c>
      <c r="E6" s="2"/>
      <c r="F6" s="4"/>
      <c r="G6" s="2"/>
      <c r="H6" s="2" t="s">
        <v>0</v>
      </c>
      <c r="I6" s="2" t="s">
        <v>0</v>
      </c>
      <c r="J6" s="2" t="s">
        <v>0</v>
      </c>
      <c r="K6" s="2" t="s">
        <v>89</v>
      </c>
      <c r="L6" s="2" t="s">
        <v>89</v>
      </c>
      <c r="M6" s="2" t="s">
        <v>89</v>
      </c>
      <c r="N6" s="2" t="s">
        <v>90</v>
      </c>
      <c r="O6" s="2" t="s">
        <v>90</v>
      </c>
      <c r="P6" s="2" t="s">
        <v>90</v>
      </c>
      <c r="Q6" s="2" t="s">
        <v>91</v>
      </c>
      <c r="R6" s="2" t="s">
        <v>91</v>
      </c>
      <c r="S6" s="2" t="s">
        <v>91</v>
      </c>
      <c r="T6" s="2" t="s">
        <v>92</v>
      </c>
      <c r="U6" s="2" t="s">
        <v>92</v>
      </c>
      <c r="V6" s="2" t="s">
        <v>92</v>
      </c>
      <c r="W6" s="2" t="s">
        <v>1</v>
      </c>
      <c r="X6" s="2" t="s">
        <v>1</v>
      </c>
      <c r="Y6" s="2" t="s">
        <v>1</v>
      </c>
      <c r="Z6" s="4" t="s">
        <v>2</v>
      </c>
      <c r="AA6" s="4" t="s">
        <v>2</v>
      </c>
      <c r="AB6" s="4" t="s">
        <v>2</v>
      </c>
      <c r="AC6" s="1"/>
      <c r="AD6" s="1"/>
      <c r="AE6" s="1"/>
      <c r="AF6" s="1"/>
      <c r="AG6" s="1"/>
      <c r="AH6" s="1"/>
      <c r="AI6" s="1"/>
      <c r="AJ6" s="1"/>
      <c r="AK6" s="1"/>
      <c r="AL6" s="1"/>
      <c r="AM6" s="1"/>
      <c r="AN6" s="1"/>
      <c r="AO6" s="1"/>
      <c r="AP6" s="1"/>
      <c r="AQ6" s="1"/>
      <c r="AR6" s="1"/>
      <c r="AS6" s="1"/>
    </row>
    <row r="7" spans="1:45">
      <c r="A7" s="1"/>
      <c r="B7" s="1"/>
      <c r="C7" s="1"/>
      <c r="D7" s="5" t="s">
        <v>3</v>
      </c>
      <c r="E7" s="5"/>
      <c r="F7" s="4"/>
      <c r="G7" s="2"/>
      <c r="H7" s="2"/>
      <c r="I7" s="2"/>
      <c r="J7" s="2"/>
      <c r="K7" s="5" t="s">
        <v>4</v>
      </c>
      <c r="L7" s="5"/>
      <c r="M7" s="5"/>
      <c r="N7" s="2" t="s">
        <v>82</v>
      </c>
      <c r="O7" s="2"/>
      <c r="P7" s="2"/>
      <c r="Q7" s="5" t="s">
        <v>4</v>
      </c>
      <c r="R7" s="5"/>
      <c r="S7" s="5"/>
      <c r="T7" s="2" t="s">
        <v>82</v>
      </c>
      <c r="U7" s="2"/>
      <c r="V7" s="2"/>
      <c r="W7" s="5" t="s">
        <v>5</v>
      </c>
      <c r="X7" s="3"/>
      <c r="Y7" s="3"/>
      <c r="Z7" s="5" t="s">
        <v>4</v>
      </c>
      <c r="AA7" s="5"/>
      <c r="AB7" s="5"/>
      <c r="AC7" s="1"/>
      <c r="AD7" s="1"/>
      <c r="AE7" s="1"/>
      <c r="AF7" s="1"/>
      <c r="AG7" s="1"/>
      <c r="AH7" s="1"/>
      <c r="AI7" s="1"/>
      <c r="AJ7" s="1"/>
      <c r="AK7" s="1"/>
      <c r="AL7" s="1"/>
      <c r="AM7" s="1"/>
      <c r="AN7" s="1"/>
      <c r="AO7" s="1"/>
      <c r="AP7" s="1"/>
      <c r="AQ7" s="1"/>
      <c r="AR7" s="1"/>
      <c r="AS7" s="1"/>
    </row>
    <row r="8" spans="1:45">
      <c r="A8" s="1"/>
      <c r="B8" s="1"/>
      <c r="C8" s="1"/>
      <c r="D8" s="5"/>
      <c r="E8" s="5"/>
      <c r="F8" s="4"/>
      <c r="G8" s="2"/>
      <c r="H8" s="2"/>
      <c r="I8" s="2"/>
      <c r="J8" s="2"/>
      <c r="K8" s="5"/>
      <c r="L8" s="5"/>
      <c r="M8" s="5"/>
      <c r="N8" s="2"/>
      <c r="O8" s="2"/>
      <c r="P8" s="2"/>
      <c r="Q8" s="5"/>
      <c r="R8" s="5"/>
      <c r="S8" s="5"/>
      <c r="T8" s="2"/>
      <c r="U8" s="2"/>
      <c r="V8" s="2"/>
      <c r="W8" s="5"/>
      <c r="X8" s="3"/>
      <c r="Y8" s="3"/>
      <c r="Z8" s="5"/>
      <c r="AA8" s="5"/>
      <c r="AB8" s="5"/>
      <c r="AC8" s="1"/>
      <c r="AD8" s="1"/>
      <c r="AE8" s="1"/>
      <c r="AF8" s="1"/>
      <c r="AG8" s="1"/>
      <c r="AH8" s="1"/>
      <c r="AI8" s="1"/>
      <c r="AJ8" s="1"/>
      <c r="AK8" s="1"/>
      <c r="AL8" s="1"/>
      <c r="AM8" s="1"/>
      <c r="AN8" s="1"/>
      <c r="AO8" s="1"/>
      <c r="AP8" s="1"/>
      <c r="AQ8" s="1"/>
      <c r="AR8" s="1"/>
      <c r="AS8" s="1"/>
    </row>
    <row r="9" spans="1:45">
      <c r="A9" s="1"/>
      <c r="B9" s="1"/>
      <c r="C9" s="1"/>
      <c r="D9" s="5" t="s">
        <v>88</v>
      </c>
      <c r="E9" s="5"/>
      <c r="F9" s="4"/>
      <c r="G9" s="2"/>
      <c r="H9" s="2">
        <v>2025</v>
      </c>
      <c r="I9" s="2">
        <v>2030</v>
      </c>
      <c r="J9" s="2">
        <v>2035</v>
      </c>
      <c r="K9" s="2">
        <v>2025</v>
      </c>
      <c r="L9" s="2">
        <v>2030</v>
      </c>
      <c r="M9" s="2">
        <v>2035</v>
      </c>
      <c r="N9" s="2">
        <v>2025</v>
      </c>
      <c r="O9" s="2">
        <v>2030</v>
      </c>
      <c r="P9" s="2">
        <v>2035</v>
      </c>
      <c r="Q9" s="2">
        <v>2025</v>
      </c>
      <c r="R9" s="2">
        <v>2030</v>
      </c>
      <c r="S9" s="2">
        <v>2035</v>
      </c>
      <c r="T9" s="2">
        <v>2025</v>
      </c>
      <c r="U9" s="2">
        <v>2030</v>
      </c>
      <c r="V9" s="2">
        <v>2035</v>
      </c>
      <c r="W9" s="2">
        <v>2025</v>
      </c>
      <c r="X9" s="2">
        <v>2030</v>
      </c>
      <c r="Y9" s="2">
        <v>2035</v>
      </c>
      <c r="Z9" s="2">
        <v>2025</v>
      </c>
      <c r="AA9" s="2">
        <v>2030</v>
      </c>
      <c r="AB9" s="2">
        <v>2035</v>
      </c>
      <c r="AC9" s="1"/>
      <c r="AD9" s="1"/>
      <c r="AE9" s="1"/>
      <c r="AF9" s="1"/>
      <c r="AG9" s="1"/>
      <c r="AH9" s="1"/>
      <c r="AI9" s="1"/>
      <c r="AJ9" s="1"/>
      <c r="AK9" s="1"/>
      <c r="AL9" s="1"/>
      <c r="AM9" s="1"/>
      <c r="AN9" s="1"/>
      <c r="AO9" s="1"/>
      <c r="AP9" s="1"/>
      <c r="AQ9" s="1"/>
      <c r="AR9" s="1"/>
      <c r="AS9" s="1"/>
    </row>
    <row r="10" spans="1:45">
      <c r="A10" s="1"/>
      <c r="B10" s="1"/>
      <c r="C10" s="1"/>
      <c r="D10" s="3"/>
      <c r="E10" s="3"/>
      <c r="F10" s="1"/>
      <c r="G10" s="3"/>
      <c r="H10" s="3"/>
      <c r="I10" s="3"/>
      <c r="J10" s="3"/>
      <c r="K10" s="3"/>
      <c r="L10" s="3"/>
      <c r="M10" s="3"/>
      <c r="N10" s="3"/>
      <c r="O10" s="3"/>
      <c r="P10" s="3"/>
      <c r="Q10" s="3"/>
      <c r="R10" s="3"/>
      <c r="S10" s="3"/>
      <c r="T10" s="3"/>
      <c r="U10" s="3"/>
      <c r="V10" s="3"/>
      <c r="W10" s="3"/>
      <c r="X10" s="3"/>
      <c r="Y10" s="3"/>
      <c r="Z10" s="6"/>
      <c r="AA10" s="6"/>
      <c r="AB10" s="6"/>
      <c r="AC10" s="1"/>
      <c r="AD10" s="1"/>
      <c r="AE10" s="1"/>
      <c r="AF10" s="1"/>
      <c r="AG10" s="1"/>
      <c r="AH10" s="1"/>
      <c r="AI10" s="1"/>
      <c r="AJ10" s="1"/>
      <c r="AK10" s="1"/>
      <c r="AL10" s="1"/>
      <c r="AM10" s="1"/>
      <c r="AN10" s="1"/>
      <c r="AO10" s="1"/>
      <c r="AP10" s="1"/>
      <c r="AQ10" s="1"/>
      <c r="AR10" s="1"/>
      <c r="AS10" s="1"/>
    </row>
    <row r="11" spans="1:45">
      <c r="A11" s="1"/>
      <c r="B11" s="1"/>
      <c r="C11" s="1"/>
      <c r="D11" s="3"/>
      <c r="E11" s="3"/>
      <c r="F11" s="1"/>
      <c r="G11" s="3"/>
      <c r="H11" s="3"/>
      <c r="I11" s="3"/>
      <c r="J11" s="3"/>
      <c r="K11" s="3"/>
      <c r="L11" s="3"/>
      <c r="M11" s="3"/>
      <c r="N11" s="3"/>
      <c r="O11" s="3"/>
      <c r="P11" s="3"/>
      <c r="Q11" s="3"/>
      <c r="R11" s="3"/>
      <c r="S11" s="3"/>
      <c r="T11" s="3"/>
      <c r="U11" s="3"/>
      <c r="V11" s="3"/>
      <c r="W11" s="3"/>
      <c r="X11" s="3"/>
      <c r="Y11" s="3"/>
      <c r="Z11" s="6"/>
      <c r="AA11" s="6"/>
      <c r="AB11" s="6"/>
      <c r="AC11" s="1"/>
      <c r="AD11" s="1"/>
      <c r="AE11" s="1"/>
      <c r="AF11" s="1"/>
      <c r="AG11" s="1"/>
      <c r="AH11" s="1"/>
      <c r="AI11" s="1"/>
      <c r="AJ11" s="1"/>
      <c r="AK11" s="1"/>
      <c r="AL11" s="1"/>
      <c r="AM11" s="1"/>
      <c r="AN11" s="1"/>
      <c r="AO11" s="1"/>
      <c r="AP11" s="1"/>
      <c r="AQ11" s="1"/>
      <c r="AR11" s="1"/>
      <c r="AS11" s="1"/>
    </row>
    <row r="12" spans="1:45">
      <c r="A12" s="1"/>
      <c r="B12" s="4" t="s">
        <v>6</v>
      </c>
      <c r="C12" s="1"/>
      <c r="D12" s="3" t="s">
        <v>7</v>
      </c>
      <c r="E12" s="3"/>
      <c r="F12" s="1"/>
      <c r="G12" s="3"/>
      <c r="H12" s="6">
        <f>User_interface!$S$29/(SUM(H25:H26))</f>
        <v>0.72039196701283381</v>
      </c>
      <c r="I12" s="6">
        <f>User_interface!$S$29/(SUM(I25:I26))</f>
        <v>0.72039196701283381</v>
      </c>
      <c r="J12" s="6">
        <f>User_interface!$S$29/(SUM(J25:J26))</f>
        <v>0.72039196701283381</v>
      </c>
      <c r="K12" s="8">
        <v>0.62</v>
      </c>
      <c r="L12" s="8">
        <v>0.64</v>
      </c>
      <c r="M12" s="8">
        <v>0.65</v>
      </c>
      <c r="N12" s="8">
        <v>0.62</v>
      </c>
      <c r="O12" s="8">
        <v>0.64</v>
      </c>
      <c r="P12" s="8">
        <v>0.65</v>
      </c>
      <c r="Q12" s="8">
        <v>0.62</v>
      </c>
      <c r="R12" s="8">
        <v>0.64</v>
      </c>
      <c r="S12" s="8">
        <v>0.65</v>
      </c>
      <c r="T12" s="8">
        <v>0.62</v>
      </c>
      <c r="U12" s="8">
        <v>0.64</v>
      </c>
      <c r="V12" s="8">
        <v>0.65</v>
      </c>
      <c r="W12" s="7">
        <f>User_interface!$S$29/SUM(H25:H27,W25:W27)</f>
        <v>0.69567185277089449</v>
      </c>
      <c r="X12" s="7">
        <f>User_interface!$S$29/SUM(I25:I27,X25:X27)</f>
        <v>0.69567185277089449</v>
      </c>
      <c r="Y12" s="7">
        <f>User_interface!$S$29/SUM(J25:J27,Y25:Y27)</f>
        <v>0.69567185277089449</v>
      </c>
      <c r="Z12" s="6">
        <f>User_interface!$S$29/(SUM(Z25:Z26))</f>
        <v>0.72015277348353346</v>
      </c>
      <c r="AA12" s="6">
        <f>User_interface!$S$29/(SUM(AA25:AA26))</f>
        <v>0.72015277348353346</v>
      </c>
      <c r="AB12" s="6">
        <f>User_interface!$S$29/(SUM(AB25:AB26))</f>
        <v>0.72015277348353346</v>
      </c>
      <c r="AC12" s="1"/>
      <c r="AD12" s="1"/>
      <c r="AE12" s="1"/>
      <c r="AF12" s="1"/>
      <c r="AG12" s="1"/>
      <c r="AH12" s="1"/>
      <c r="AI12" s="1"/>
      <c r="AJ12" s="1"/>
      <c r="AK12" s="1"/>
      <c r="AL12" s="1"/>
      <c r="AM12" s="1"/>
      <c r="AN12" s="1"/>
      <c r="AO12" s="1"/>
      <c r="AP12" s="1"/>
      <c r="AQ12" s="1"/>
      <c r="AR12" s="1"/>
      <c r="AS12" s="1"/>
    </row>
    <row r="13" spans="1:45">
      <c r="A13" s="1"/>
      <c r="B13" s="4" t="s">
        <v>8</v>
      </c>
      <c r="C13" s="1"/>
      <c r="D13" s="3" t="s">
        <v>9</v>
      </c>
      <c r="E13" s="3"/>
      <c r="F13" s="1"/>
      <c r="G13" s="3"/>
      <c r="H13" s="6">
        <f>User_interface!$S$30/(SUM(H25:H26))</f>
        <v>0.85016608146572981</v>
      </c>
      <c r="I13" s="6">
        <f>User_interface!$S$30/(SUM(I25:I26))</f>
        <v>0.85016608146572981</v>
      </c>
      <c r="J13" s="6">
        <f>User_interface!$S$30/(SUM(J25:J26))</f>
        <v>0.85016608146572981</v>
      </c>
      <c r="K13" s="7">
        <f>User_interface!$S$30/K25</f>
        <v>0.7316891284815813</v>
      </c>
      <c r="L13" s="7">
        <f>User_interface!$S$30/L25</f>
        <v>0.75529200359389037</v>
      </c>
      <c r="M13" s="7">
        <f>User_interface!$S$30/M25</f>
        <v>0.76709344115004496</v>
      </c>
      <c r="N13" s="7">
        <f>User_interface!$S$30/N25</f>
        <v>0.7316891284815813</v>
      </c>
      <c r="O13" s="7">
        <f>User_interface!$S$30/O25</f>
        <v>0.75529200359389037</v>
      </c>
      <c r="P13" s="7">
        <f>User_interface!$S$30/P25</f>
        <v>0.76709344115004496</v>
      </c>
      <c r="Q13" s="7">
        <f>User_interface!$S$30/Q25</f>
        <v>0.7316891284815813</v>
      </c>
      <c r="R13" s="7">
        <f>User_interface!$S$30/R25</f>
        <v>0.75529200359389037</v>
      </c>
      <c r="S13" s="7">
        <f>User_interface!$S$30/S25</f>
        <v>0.76709344115004496</v>
      </c>
      <c r="T13" s="7">
        <f>User_interface!$S$30/T25</f>
        <v>0.7316891284815813</v>
      </c>
      <c r="U13" s="7">
        <f>User_interface!$S$30/U25</f>
        <v>0.75529200359389037</v>
      </c>
      <c r="V13" s="7">
        <f>User_interface!$S$30/V25</f>
        <v>0.76709344115004496</v>
      </c>
      <c r="W13" s="7">
        <f>User_interface!$S$30/SUM(H25:H27,W25:W27)</f>
        <v>0.82099279300500438</v>
      </c>
      <c r="X13" s="7">
        <f>User_interface!$S$30/SUM(I25:I27,X25:X27)</f>
        <v>0.82099279300500438</v>
      </c>
      <c r="Y13" s="7">
        <f>User_interface!$S$30/SUM(J25:J27,Y25:Y27)</f>
        <v>0.82099279300500438</v>
      </c>
      <c r="Z13" s="6">
        <f>User_interface!$S$30/(SUM(Z25:Z26))</f>
        <v>0.84988379871574227</v>
      </c>
      <c r="AA13" s="6">
        <f>User_interface!$S$30/(SUM(AA25:AA26))</f>
        <v>0.84988379871574227</v>
      </c>
      <c r="AB13" s="6">
        <f>User_interface!$S$30/(SUM(AB25:AB26))</f>
        <v>0.84988379871574227</v>
      </c>
      <c r="AC13" s="1"/>
      <c r="AD13" s="1"/>
      <c r="AE13" s="1"/>
      <c r="AF13" s="1"/>
      <c r="AG13" s="1"/>
      <c r="AH13" s="1"/>
      <c r="AI13" s="1"/>
      <c r="AJ13" s="1"/>
      <c r="AK13" s="1"/>
      <c r="AL13" s="1"/>
      <c r="AM13" s="1"/>
      <c r="AN13" s="1"/>
      <c r="AO13" s="1"/>
      <c r="AP13" s="1"/>
      <c r="AQ13" s="1"/>
      <c r="AR13" s="1"/>
      <c r="AS13" s="1"/>
    </row>
    <row r="14" spans="1:45">
      <c r="A14" s="1"/>
      <c r="B14" s="4" t="s">
        <v>110</v>
      </c>
      <c r="C14" s="1"/>
      <c r="D14" s="3"/>
      <c r="E14" s="3"/>
      <c r="F14" s="1"/>
      <c r="G14" s="3"/>
      <c r="H14" s="7">
        <f>235/329</f>
        <v>0.7142857142857143</v>
      </c>
      <c r="I14" s="7">
        <f>235/329</f>
        <v>0.7142857142857143</v>
      </c>
      <c r="J14" s="7">
        <f>235/329</f>
        <v>0.7142857142857143</v>
      </c>
      <c r="K14" s="7"/>
      <c r="L14" s="7"/>
      <c r="M14" s="7"/>
      <c r="N14" s="7"/>
      <c r="O14" s="7"/>
      <c r="P14" s="7"/>
      <c r="Q14" s="7"/>
      <c r="R14" s="7"/>
      <c r="S14" s="7"/>
      <c r="T14" s="7"/>
      <c r="U14" s="7"/>
      <c r="V14" s="7"/>
      <c r="W14" s="24">
        <f>200*W58*(W23*W12/User_interface!S29)/1000</f>
        <v>183.0123256885156</v>
      </c>
      <c r="X14" s="24"/>
      <c r="Y14" s="24"/>
      <c r="Z14" s="6"/>
      <c r="AA14" s="6"/>
      <c r="AB14" s="6"/>
      <c r="AC14" s="1"/>
      <c r="AD14" s="1"/>
      <c r="AE14" s="1"/>
      <c r="AF14" s="1"/>
      <c r="AG14" s="1"/>
      <c r="AH14" s="1"/>
      <c r="AI14" s="1"/>
      <c r="AJ14" s="1"/>
      <c r="AK14" s="1"/>
      <c r="AL14" s="1"/>
      <c r="AM14" s="1"/>
      <c r="AN14" s="1"/>
      <c r="AO14" s="1"/>
      <c r="AP14" s="1"/>
      <c r="AQ14" s="1"/>
      <c r="AR14" s="1"/>
      <c r="AS14" s="1"/>
    </row>
    <row r="15" spans="1:45">
      <c r="A15" s="1"/>
      <c r="B15" s="1"/>
      <c r="C15" s="1"/>
      <c r="D15" s="3" t="s">
        <v>10</v>
      </c>
      <c r="E15" s="3"/>
      <c r="F15" s="3" t="s">
        <v>11</v>
      </c>
      <c r="G15" s="3"/>
      <c r="H15" s="24">
        <v>740</v>
      </c>
      <c r="I15" s="24">
        <v>740</v>
      </c>
      <c r="J15" s="24">
        <v>740</v>
      </c>
      <c r="K15" s="27">
        <v>300</v>
      </c>
      <c r="L15" s="27">
        <v>250</v>
      </c>
      <c r="M15" s="27">
        <v>200</v>
      </c>
      <c r="N15" s="27">
        <v>300</v>
      </c>
      <c r="O15" s="27">
        <v>250</v>
      </c>
      <c r="P15" s="27">
        <v>200</v>
      </c>
      <c r="Q15" s="27">
        <v>200</v>
      </c>
      <c r="R15" s="27">
        <v>150</v>
      </c>
      <c r="S15" s="27">
        <v>100</v>
      </c>
      <c r="T15" s="27">
        <v>200</v>
      </c>
      <c r="U15" s="27">
        <v>150</v>
      </c>
      <c r="V15" s="27">
        <v>100</v>
      </c>
      <c r="W15" s="24">
        <f>1250-H15</f>
        <v>510</v>
      </c>
      <c r="X15" s="24">
        <f>1250-I15</f>
        <v>510</v>
      </c>
      <c r="Y15" s="24">
        <f>1250-J15</f>
        <v>510</v>
      </c>
      <c r="Z15" s="24">
        <v>1200</v>
      </c>
      <c r="AA15" s="24">
        <v>1200</v>
      </c>
      <c r="AB15" s="24">
        <v>1200</v>
      </c>
      <c r="AC15" s="1"/>
      <c r="AD15" s="1"/>
      <c r="AE15" s="1"/>
      <c r="AF15" s="1"/>
      <c r="AG15" s="1"/>
      <c r="AH15" s="1"/>
      <c r="AI15" s="1"/>
      <c r="AJ15" s="1"/>
      <c r="AK15" s="1"/>
      <c r="AL15" s="1"/>
      <c r="AM15" s="1"/>
      <c r="AN15" s="1"/>
      <c r="AO15" s="1"/>
      <c r="AP15" s="1"/>
      <c r="AQ15" s="1"/>
      <c r="AR15" s="1"/>
      <c r="AS15" s="1"/>
    </row>
    <row r="16" spans="1:45">
      <c r="A16" s="1"/>
      <c r="B16" s="1"/>
      <c r="C16" s="1"/>
      <c r="D16" s="3" t="s">
        <v>12</v>
      </c>
      <c r="E16" s="3"/>
      <c r="F16" s="3" t="s">
        <v>11</v>
      </c>
      <c r="G16" s="3"/>
      <c r="H16" s="24">
        <v>0</v>
      </c>
      <c r="I16" s="24">
        <v>0</v>
      </c>
      <c r="J16" s="24">
        <v>0</v>
      </c>
      <c r="K16" s="27">
        <v>300</v>
      </c>
      <c r="L16" s="27">
        <v>250</v>
      </c>
      <c r="M16" s="27">
        <v>200</v>
      </c>
      <c r="N16" s="27">
        <v>300</v>
      </c>
      <c r="O16" s="27">
        <v>250</v>
      </c>
      <c r="P16" s="27">
        <v>200</v>
      </c>
      <c r="Q16" s="27">
        <v>250</v>
      </c>
      <c r="R16" s="27">
        <v>200</v>
      </c>
      <c r="S16" s="27">
        <v>150</v>
      </c>
      <c r="T16" s="27">
        <v>250</v>
      </c>
      <c r="U16" s="27">
        <v>200</v>
      </c>
      <c r="V16" s="27">
        <v>150</v>
      </c>
      <c r="W16" s="7"/>
      <c r="X16" s="7"/>
      <c r="Y16" s="7"/>
      <c r="Z16" s="6"/>
      <c r="AA16" s="6"/>
      <c r="AB16" s="6"/>
      <c r="AC16" s="1"/>
      <c r="AD16" s="1" t="s">
        <v>143</v>
      </c>
      <c r="AE16" s="1"/>
      <c r="AF16" s="1"/>
      <c r="AG16" s="1"/>
      <c r="AH16" s="1"/>
      <c r="AI16" s="1"/>
      <c r="AJ16" s="1"/>
      <c r="AK16" s="1"/>
      <c r="AL16" s="1"/>
      <c r="AM16" s="1"/>
      <c r="AN16" s="1"/>
      <c r="AO16" s="1"/>
      <c r="AP16" s="1"/>
      <c r="AQ16" s="1"/>
      <c r="AR16" s="1"/>
      <c r="AS16" s="1"/>
    </row>
    <row r="17" spans="1:45">
      <c r="A17" s="1"/>
      <c r="B17" s="1"/>
      <c r="C17" s="1"/>
      <c r="D17" s="3" t="s">
        <v>13</v>
      </c>
      <c r="E17" s="3"/>
      <c r="F17" s="3" t="s">
        <v>14</v>
      </c>
      <c r="G17" s="3"/>
      <c r="H17" s="7"/>
      <c r="I17" s="7"/>
      <c r="J17" s="7"/>
      <c r="K17" s="28">
        <v>82500</v>
      </c>
      <c r="L17" s="28">
        <v>82500</v>
      </c>
      <c r="M17" s="28">
        <v>82500</v>
      </c>
      <c r="N17" s="28">
        <v>82500</v>
      </c>
      <c r="O17" s="28">
        <v>82500</v>
      </c>
      <c r="P17" s="28">
        <v>82500</v>
      </c>
      <c r="Q17" s="28">
        <v>82500</v>
      </c>
      <c r="R17" s="28">
        <v>82500</v>
      </c>
      <c r="S17" s="28">
        <v>82500</v>
      </c>
      <c r="T17" s="28">
        <v>82500</v>
      </c>
      <c r="U17" s="28">
        <v>82500</v>
      </c>
      <c r="V17" s="28">
        <v>82500</v>
      </c>
      <c r="W17" s="7"/>
      <c r="X17" s="7"/>
      <c r="Y17" s="7"/>
      <c r="Z17" s="6"/>
      <c r="AA17" s="6"/>
      <c r="AB17" s="6"/>
      <c r="AC17" s="1"/>
      <c r="AD17" s="1"/>
      <c r="AE17" s="1"/>
      <c r="AF17" s="1"/>
      <c r="AG17" s="1"/>
      <c r="AH17" s="1"/>
      <c r="AI17" s="1"/>
      <c r="AJ17" s="1"/>
      <c r="AK17" s="1"/>
      <c r="AL17" s="1"/>
      <c r="AM17" s="1"/>
      <c r="AN17" s="1"/>
      <c r="AO17" s="1"/>
      <c r="AP17" s="1"/>
      <c r="AQ17" s="1"/>
      <c r="AR17" s="1"/>
      <c r="AS17" s="1"/>
    </row>
    <row r="18" spans="1:45">
      <c r="A18" s="1"/>
      <c r="B18" s="1"/>
      <c r="C18" s="1"/>
      <c r="D18" s="3" t="s">
        <v>13</v>
      </c>
      <c r="E18" s="3"/>
      <c r="F18" s="3" t="s">
        <v>15</v>
      </c>
      <c r="G18" s="3"/>
      <c r="H18" s="7"/>
      <c r="I18" s="7"/>
      <c r="J18" s="7"/>
      <c r="K18" s="24">
        <f t="shared" ref="K18:V18" si="0">K17/K23</f>
        <v>12.692307692307692</v>
      </c>
      <c r="L18" s="24">
        <f t="shared" si="0"/>
        <v>12.692307692307692</v>
      </c>
      <c r="M18" s="24">
        <f t="shared" si="0"/>
        <v>12.692307692307692</v>
      </c>
      <c r="N18" s="24">
        <f t="shared" si="0"/>
        <v>12.692307692307692</v>
      </c>
      <c r="O18" s="24">
        <f t="shared" si="0"/>
        <v>12.692307692307692</v>
      </c>
      <c r="P18" s="24">
        <f t="shared" si="0"/>
        <v>12.692307692307692</v>
      </c>
      <c r="Q18" s="24">
        <f t="shared" si="0"/>
        <v>12.692307692307692</v>
      </c>
      <c r="R18" s="24">
        <f t="shared" si="0"/>
        <v>12.692307692307692</v>
      </c>
      <c r="S18" s="24">
        <f t="shared" si="0"/>
        <v>12.692307692307692</v>
      </c>
      <c r="T18" s="24">
        <f t="shared" si="0"/>
        <v>12.692307692307692</v>
      </c>
      <c r="U18" s="24">
        <f t="shared" si="0"/>
        <v>12.692307692307692</v>
      </c>
      <c r="V18" s="24">
        <f t="shared" si="0"/>
        <v>12.692307692307692</v>
      </c>
      <c r="W18" s="7"/>
      <c r="X18" s="7"/>
      <c r="Y18" s="7"/>
      <c r="Z18" s="6"/>
      <c r="AA18" s="6"/>
      <c r="AB18" s="6"/>
      <c r="AC18" s="1"/>
      <c r="AD18" s="1"/>
      <c r="AE18" s="1"/>
      <c r="AF18" s="1"/>
      <c r="AG18" s="1"/>
      <c r="AH18" s="1"/>
      <c r="AI18" s="1"/>
      <c r="AJ18" s="1"/>
      <c r="AK18" s="1"/>
      <c r="AL18" s="1"/>
      <c r="AM18" s="1"/>
      <c r="AN18" s="1"/>
      <c r="AO18" s="1"/>
      <c r="AP18" s="1"/>
      <c r="AQ18" s="1"/>
      <c r="AR18" s="1"/>
      <c r="AS18" s="1"/>
    </row>
    <row r="19" spans="1:45">
      <c r="A19" s="1"/>
      <c r="B19" s="1"/>
      <c r="C19" s="1"/>
      <c r="D19" s="3" t="s">
        <v>16</v>
      </c>
      <c r="E19" s="3"/>
      <c r="F19" s="3" t="s">
        <v>15</v>
      </c>
      <c r="G19" s="3"/>
      <c r="H19" s="7"/>
      <c r="I19" s="7"/>
      <c r="J19" s="7"/>
      <c r="K19" s="28">
        <v>30</v>
      </c>
      <c r="L19" s="28">
        <v>30</v>
      </c>
      <c r="M19" s="28">
        <v>30</v>
      </c>
      <c r="N19" s="28">
        <v>30</v>
      </c>
      <c r="O19" s="28">
        <v>30</v>
      </c>
      <c r="P19" s="28">
        <v>30</v>
      </c>
      <c r="Q19" s="28">
        <v>30</v>
      </c>
      <c r="R19" s="28">
        <v>30</v>
      </c>
      <c r="S19" s="28">
        <v>30</v>
      </c>
      <c r="T19" s="28">
        <v>30</v>
      </c>
      <c r="U19" s="28">
        <v>30</v>
      </c>
      <c r="V19" s="28">
        <v>30</v>
      </c>
      <c r="W19" s="7"/>
      <c r="X19" s="7"/>
      <c r="Y19" s="7"/>
      <c r="Z19" s="6"/>
      <c r="AA19" s="6"/>
      <c r="AB19" s="6"/>
      <c r="AC19" s="1"/>
      <c r="AD19" s="1"/>
      <c r="AE19" s="1"/>
      <c r="AF19" s="1"/>
      <c r="AG19" s="1"/>
      <c r="AH19" s="1"/>
      <c r="AI19" s="1"/>
      <c r="AJ19" s="1"/>
      <c r="AK19" s="1"/>
      <c r="AL19" s="1"/>
      <c r="AM19" s="1"/>
      <c r="AN19" s="1"/>
      <c r="AO19" s="1"/>
      <c r="AP19" s="1"/>
      <c r="AQ19" s="1"/>
      <c r="AR19" s="1"/>
      <c r="AS19" s="1"/>
    </row>
    <row r="20" spans="1:45">
      <c r="A20" s="1"/>
      <c r="B20" s="1"/>
      <c r="C20" s="1"/>
      <c r="D20" s="3" t="s">
        <v>17</v>
      </c>
      <c r="E20" s="3"/>
      <c r="F20" s="3"/>
      <c r="G20" s="3"/>
      <c r="H20" s="7"/>
      <c r="I20" s="7"/>
      <c r="J20" s="7"/>
      <c r="K20" s="9">
        <v>0.15</v>
      </c>
      <c r="L20" s="9">
        <v>0.15</v>
      </c>
      <c r="M20" s="9">
        <v>0.15</v>
      </c>
      <c r="N20" s="9">
        <v>0.15</v>
      </c>
      <c r="O20" s="9">
        <v>0.15</v>
      </c>
      <c r="P20" s="9">
        <v>0.15</v>
      </c>
      <c r="Q20" s="9">
        <v>0.15</v>
      </c>
      <c r="R20" s="9">
        <v>0.15</v>
      </c>
      <c r="S20" s="9">
        <v>0.15</v>
      </c>
      <c r="T20" s="9">
        <v>0.15</v>
      </c>
      <c r="U20" s="9">
        <v>0.15</v>
      </c>
      <c r="V20" s="9">
        <v>0.15</v>
      </c>
      <c r="W20" s="7"/>
      <c r="X20" s="7"/>
      <c r="Y20" s="7"/>
      <c r="Z20" s="6"/>
      <c r="AA20" s="6"/>
      <c r="AB20" s="6"/>
      <c r="AC20" s="1"/>
      <c r="AD20" s="1"/>
      <c r="AE20" s="1"/>
      <c r="AF20" s="1"/>
      <c r="AG20" s="1"/>
      <c r="AH20" s="1"/>
      <c r="AI20" s="1"/>
      <c r="AJ20" s="1"/>
      <c r="AK20" s="1"/>
      <c r="AL20" s="1"/>
      <c r="AM20" s="1"/>
      <c r="AN20" s="1"/>
      <c r="AO20" s="1"/>
      <c r="AP20" s="1"/>
      <c r="AQ20" s="1"/>
      <c r="AR20" s="1"/>
      <c r="AS20" s="1"/>
    </row>
    <row r="21" spans="1:45">
      <c r="A21" s="1"/>
      <c r="B21" s="1"/>
      <c r="C21" s="1"/>
      <c r="D21" s="3" t="s">
        <v>18</v>
      </c>
      <c r="E21" s="3"/>
      <c r="F21" s="3" t="s">
        <v>11</v>
      </c>
      <c r="G21" s="3"/>
      <c r="H21" s="24">
        <f>SUM(H15:H16)</f>
        <v>740</v>
      </c>
      <c r="I21" s="24">
        <f>SUM(I15:I16)</f>
        <v>740</v>
      </c>
      <c r="J21" s="24">
        <f>SUM(J15:J16)</f>
        <v>740</v>
      </c>
      <c r="K21" s="24">
        <f t="shared" ref="K21:V21" si="1">K15+K16+K20*K15*(K19-K18)/K18</f>
        <v>661.36363636363637</v>
      </c>
      <c r="L21" s="24">
        <f t="shared" si="1"/>
        <v>551.13636363636363</v>
      </c>
      <c r="M21" s="24">
        <f t="shared" si="1"/>
        <v>440.90909090909088</v>
      </c>
      <c r="N21" s="24">
        <f t="shared" si="1"/>
        <v>661.36363636363637</v>
      </c>
      <c r="O21" s="24">
        <f t="shared" si="1"/>
        <v>551.13636363636363</v>
      </c>
      <c r="P21" s="24">
        <f t="shared" si="1"/>
        <v>440.90909090909088</v>
      </c>
      <c r="Q21" s="24">
        <f t="shared" si="1"/>
        <v>490.90909090909088</v>
      </c>
      <c r="R21" s="24">
        <f t="shared" si="1"/>
        <v>380.68181818181819</v>
      </c>
      <c r="S21" s="24">
        <f t="shared" si="1"/>
        <v>270.45454545454544</v>
      </c>
      <c r="T21" s="24">
        <f t="shared" si="1"/>
        <v>490.90909090909088</v>
      </c>
      <c r="U21" s="24">
        <f t="shared" si="1"/>
        <v>380.68181818181819</v>
      </c>
      <c r="V21" s="24">
        <f t="shared" si="1"/>
        <v>270.45454545454544</v>
      </c>
      <c r="W21" s="24">
        <f t="shared" ref="W21:AB21" si="2">SUM(W15:W16)</f>
        <v>510</v>
      </c>
      <c r="X21" s="24">
        <f t="shared" si="2"/>
        <v>510</v>
      </c>
      <c r="Y21" s="24">
        <f t="shared" si="2"/>
        <v>510</v>
      </c>
      <c r="Z21" s="24">
        <f t="shared" si="2"/>
        <v>1200</v>
      </c>
      <c r="AA21" s="24">
        <f t="shared" si="2"/>
        <v>1200</v>
      </c>
      <c r="AB21" s="24">
        <f t="shared" si="2"/>
        <v>1200</v>
      </c>
      <c r="AC21" s="1"/>
      <c r="AD21" s="1"/>
      <c r="AE21" s="1"/>
      <c r="AF21" s="1"/>
      <c r="AG21" s="1"/>
      <c r="AH21" s="1"/>
      <c r="AI21" s="1"/>
      <c r="AJ21" s="1"/>
      <c r="AK21" s="1"/>
      <c r="AL21" s="1"/>
      <c r="AM21" s="1"/>
      <c r="AN21" s="1"/>
      <c r="AO21" s="1"/>
      <c r="AP21" s="1"/>
      <c r="AQ21" s="1"/>
      <c r="AR21" s="1"/>
      <c r="AS21" s="1"/>
    </row>
    <row r="22" spans="1:45">
      <c r="A22" s="1"/>
      <c r="B22" s="1"/>
      <c r="C22" s="1"/>
      <c r="D22" s="3" t="s">
        <v>19</v>
      </c>
      <c r="E22" s="3"/>
      <c r="F22" s="3" t="s">
        <v>20</v>
      </c>
      <c r="G22" s="3"/>
      <c r="H22" s="24">
        <v>40</v>
      </c>
      <c r="I22" s="24">
        <v>40</v>
      </c>
      <c r="J22" s="24">
        <v>40</v>
      </c>
      <c r="K22" s="24">
        <f t="shared" ref="K22:V22" si="3">K19</f>
        <v>30</v>
      </c>
      <c r="L22" s="24">
        <f t="shared" si="3"/>
        <v>30</v>
      </c>
      <c r="M22" s="24">
        <f t="shared" si="3"/>
        <v>30</v>
      </c>
      <c r="N22" s="24">
        <f t="shared" si="3"/>
        <v>30</v>
      </c>
      <c r="O22" s="24">
        <f t="shared" si="3"/>
        <v>30</v>
      </c>
      <c r="P22" s="24">
        <f t="shared" si="3"/>
        <v>30</v>
      </c>
      <c r="Q22" s="24">
        <f t="shared" si="3"/>
        <v>30</v>
      </c>
      <c r="R22" s="24">
        <f t="shared" si="3"/>
        <v>30</v>
      </c>
      <c r="S22" s="24">
        <f t="shared" si="3"/>
        <v>30</v>
      </c>
      <c r="T22" s="24">
        <f t="shared" si="3"/>
        <v>30</v>
      </c>
      <c r="U22" s="24">
        <f t="shared" si="3"/>
        <v>30</v>
      </c>
      <c r="V22" s="24">
        <f t="shared" si="3"/>
        <v>30</v>
      </c>
      <c r="W22" s="24">
        <v>25</v>
      </c>
      <c r="X22" s="24">
        <v>25</v>
      </c>
      <c r="Y22" s="24">
        <v>25</v>
      </c>
      <c r="Z22" s="25">
        <v>25</v>
      </c>
      <c r="AA22" s="25">
        <v>25</v>
      </c>
      <c r="AB22" s="25">
        <v>25</v>
      </c>
      <c r="AC22" s="1"/>
      <c r="AD22" s="1"/>
      <c r="AE22" s="1"/>
      <c r="AF22" s="1"/>
      <c r="AG22" s="1"/>
      <c r="AH22" s="1"/>
      <c r="AI22" s="1"/>
      <c r="AJ22" s="1"/>
      <c r="AK22" s="1"/>
      <c r="AL22" s="1"/>
      <c r="AM22" s="1"/>
      <c r="AN22" s="1"/>
      <c r="AO22" s="1"/>
      <c r="AP22" s="1"/>
      <c r="AQ22" s="1"/>
      <c r="AR22" s="1"/>
      <c r="AS22" s="1"/>
    </row>
    <row r="23" spans="1:45">
      <c r="A23" s="1"/>
      <c r="B23" s="1"/>
      <c r="C23" s="1"/>
      <c r="D23" s="3" t="s">
        <v>21</v>
      </c>
      <c r="E23" s="3"/>
      <c r="F23" s="3" t="s">
        <v>14</v>
      </c>
      <c r="G23" s="3"/>
      <c r="H23" s="28">
        <v>8000</v>
      </c>
      <c r="I23" s="28">
        <v>8000</v>
      </c>
      <c r="J23" s="28">
        <v>8000</v>
      </c>
      <c r="K23" s="28">
        <v>6500</v>
      </c>
      <c r="L23" s="28">
        <v>6500</v>
      </c>
      <c r="M23" s="28">
        <v>6500</v>
      </c>
      <c r="N23" s="28">
        <v>6500</v>
      </c>
      <c r="O23" s="28">
        <v>6500</v>
      </c>
      <c r="P23" s="28">
        <v>6500</v>
      </c>
      <c r="Q23" s="28">
        <v>6500</v>
      </c>
      <c r="R23" s="28">
        <v>6500</v>
      </c>
      <c r="S23" s="28">
        <v>6500</v>
      </c>
      <c r="T23" s="28">
        <v>6500</v>
      </c>
      <c r="U23" s="28">
        <v>6500</v>
      </c>
      <c r="V23" s="28">
        <v>6500</v>
      </c>
      <c r="W23" s="28">
        <f>H23</f>
        <v>8000</v>
      </c>
      <c r="X23" s="28">
        <f>I23</f>
        <v>8000</v>
      </c>
      <c r="Y23" s="28">
        <f>J23</f>
        <v>8000</v>
      </c>
      <c r="Z23" s="28">
        <v>8000</v>
      </c>
      <c r="AA23" s="28">
        <v>8000</v>
      </c>
      <c r="AB23" s="28">
        <v>8000</v>
      </c>
      <c r="AC23" s="1"/>
      <c r="AD23" s="1"/>
      <c r="AE23" s="1"/>
      <c r="AF23" s="1"/>
      <c r="AG23" s="1"/>
      <c r="AH23" s="1"/>
      <c r="AI23" s="1"/>
      <c r="AJ23" s="1"/>
      <c r="AK23" s="1"/>
      <c r="AL23" s="1"/>
      <c r="AM23" s="1"/>
      <c r="AN23" s="1"/>
      <c r="AO23" s="1"/>
      <c r="AP23" s="1"/>
      <c r="AQ23" s="1"/>
      <c r="AR23" s="1"/>
      <c r="AS23" s="1"/>
    </row>
    <row r="24" spans="1:45">
      <c r="A24" s="1"/>
      <c r="B24" s="1"/>
      <c r="C24" s="1"/>
      <c r="D24" s="3"/>
      <c r="E24" s="3"/>
      <c r="F24" s="3"/>
      <c r="G24" s="3"/>
      <c r="H24" s="7"/>
      <c r="I24" s="7"/>
      <c r="J24" s="7"/>
      <c r="K24" s="1"/>
      <c r="L24" s="1"/>
      <c r="M24" s="1"/>
      <c r="N24" s="1"/>
      <c r="O24" s="1"/>
      <c r="P24" s="1"/>
      <c r="Q24" s="1"/>
      <c r="R24" s="1"/>
      <c r="S24" s="1"/>
      <c r="T24" s="1"/>
      <c r="U24" s="1"/>
      <c r="V24" s="1"/>
      <c r="W24" s="7"/>
      <c r="X24" s="7"/>
      <c r="Y24" s="7"/>
      <c r="Z24" s="6"/>
      <c r="AA24" s="6"/>
      <c r="AB24" s="6"/>
      <c r="AC24" s="1"/>
      <c r="AD24" s="1"/>
      <c r="AE24" s="1"/>
      <c r="AF24" s="1"/>
      <c r="AG24" s="1"/>
      <c r="AH24" s="1"/>
      <c r="AI24" s="1"/>
      <c r="AJ24" s="1"/>
      <c r="AK24" s="1"/>
      <c r="AL24" s="1"/>
      <c r="AM24" s="1"/>
      <c r="AN24" s="1"/>
      <c r="AO24" s="1"/>
      <c r="AP24" s="1"/>
      <c r="AQ24" s="1"/>
      <c r="AR24" s="1"/>
      <c r="AS24" s="1"/>
    </row>
    <row r="25" spans="1:45">
      <c r="A25" s="1"/>
      <c r="B25" s="4" t="s">
        <v>22</v>
      </c>
      <c r="C25" s="1"/>
      <c r="D25" s="3" t="s">
        <v>23</v>
      </c>
      <c r="E25" s="3"/>
      <c r="F25" s="3" t="s">
        <v>24</v>
      </c>
      <c r="G25" s="3"/>
      <c r="H25" s="7">
        <f>0.569</f>
        <v>0.56899999999999995</v>
      </c>
      <c r="I25" s="7">
        <f>0.569</f>
        <v>0.56899999999999995</v>
      </c>
      <c r="J25" s="7">
        <f>0.569</f>
        <v>0.56899999999999995</v>
      </c>
      <c r="K25" s="10">
        <f>User_interface!$S$29/K12</f>
        <v>53.854838709677423</v>
      </c>
      <c r="L25" s="10">
        <f>User_interface!$S$29/L12</f>
        <v>52.171875</v>
      </c>
      <c r="M25" s="10">
        <f>User_interface!$S$29/M12</f>
        <v>51.369230769230768</v>
      </c>
      <c r="N25" s="10">
        <f>User_interface!$S$29/N12</f>
        <v>53.854838709677423</v>
      </c>
      <c r="O25" s="10">
        <f>User_interface!$S$29/O12</f>
        <v>52.171875</v>
      </c>
      <c r="P25" s="10">
        <f>User_interface!$S$29/P12</f>
        <v>51.369230769230768</v>
      </c>
      <c r="Q25" s="10">
        <f>User_interface!$S$29/Q12</f>
        <v>53.854838709677423</v>
      </c>
      <c r="R25" s="10">
        <f>User_interface!$S$29/R12</f>
        <v>52.171875</v>
      </c>
      <c r="S25" s="10">
        <f>User_interface!$S$29/S12</f>
        <v>51.369230769230768</v>
      </c>
      <c r="T25" s="10">
        <f>User_interface!$S$29/T12</f>
        <v>53.854838709677423</v>
      </c>
      <c r="U25" s="10">
        <f>User_interface!$S$29/U12</f>
        <v>52.171875</v>
      </c>
      <c r="V25" s="10">
        <f>User_interface!$S$29/V12</f>
        <v>51.369230769230768</v>
      </c>
      <c r="W25" s="10">
        <f>300*W58/1000</f>
        <v>1.647</v>
      </c>
      <c r="X25" s="10">
        <f>300*X58/1000</f>
        <v>1.647</v>
      </c>
      <c r="Y25" s="10">
        <f>300*Y58/1000</f>
        <v>1.647</v>
      </c>
      <c r="Z25" s="7">
        <f>27.1/(500/(24*Z23/8760))</f>
        <v>1.1879452054794521</v>
      </c>
      <c r="AA25" s="7">
        <f>27.1/(500/(24*AA23/8760))</f>
        <v>1.1879452054794521</v>
      </c>
      <c r="AB25" s="7">
        <f>27.1/(500/(24*AB23/8760))</f>
        <v>1.1879452054794521</v>
      </c>
      <c r="AC25" s="1"/>
      <c r="AD25" s="1"/>
      <c r="AE25" s="1"/>
      <c r="AF25" s="1"/>
      <c r="AG25" s="1"/>
      <c r="AH25" s="1"/>
      <c r="AI25" s="1"/>
      <c r="AJ25" s="1"/>
      <c r="AK25" s="1"/>
      <c r="AL25" s="1"/>
      <c r="AM25" s="1"/>
      <c r="AN25" s="1"/>
      <c r="AO25" s="1"/>
      <c r="AP25" s="1"/>
      <c r="AQ25" s="1"/>
      <c r="AR25" s="1"/>
      <c r="AS25" s="1"/>
    </row>
    <row r="26" spans="1:45">
      <c r="A26" s="1"/>
      <c r="B26" s="1"/>
      <c r="C26" s="1"/>
      <c r="D26" s="3" t="s">
        <v>25</v>
      </c>
      <c r="E26" s="3"/>
      <c r="F26" s="3" t="s">
        <v>24</v>
      </c>
      <c r="G26" s="3"/>
      <c r="H26" s="7">
        <f>H25*156250/1942</f>
        <v>45.780767250257462</v>
      </c>
      <c r="I26" s="7">
        <f>I25*156250/1942</f>
        <v>45.780767250257462</v>
      </c>
      <c r="J26" s="7">
        <f>J25*156250/1942</f>
        <v>45.780767250257462</v>
      </c>
      <c r="K26" s="7">
        <v>0</v>
      </c>
      <c r="L26" s="7">
        <v>0</v>
      </c>
      <c r="M26" s="7">
        <v>0</v>
      </c>
      <c r="N26" s="7">
        <v>0</v>
      </c>
      <c r="O26" s="7">
        <v>0</v>
      </c>
      <c r="P26" s="7">
        <v>0</v>
      </c>
      <c r="Q26" s="7">
        <v>0</v>
      </c>
      <c r="R26" s="7">
        <v>0</v>
      </c>
      <c r="S26" s="7">
        <v>0</v>
      </c>
      <c r="T26" s="7">
        <v>0</v>
      </c>
      <c r="U26" s="7">
        <v>0</v>
      </c>
      <c r="V26" s="7">
        <v>0</v>
      </c>
      <c r="W26" s="7">
        <v>0</v>
      </c>
      <c r="X26" s="7">
        <v>0</v>
      </c>
      <c r="Y26" s="7">
        <v>0</v>
      </c>
      <c r="Z26" s="6">
        <f>76776*0.791*12.91*24*Z23/8760/1000/(500)+887.7/3.6*24*Z23/8760/(500)</f>
        <v>45.177216784365299</v>
      </c>
      <c r="AA26" s="6">
        <f>76776*0.791*12.91*24*AA23/8760/1000/(500)+887.7/3.6*24*AA23/8760/(500)</f>
        <v>45.177216784365299</v>
      </c>
      <c r="AB26" s="6">
        <f>76776*0.791*12.91*24*AB23/8760/1000/(500)+887.7/3.6*24*AB23/8760/(500)</f>
        <v>45.177216784365299</v>
      </c>
      <c r="AC26" s="1"/>
      <c r="AD26" s="1"/>
      <c r="AE26" s="1"/>
      <c r="AF26" s="1"/>
      <c r="AG26" s="1"/>
      <c r="AH26" s="1"/>
      <c r="AI26" s="1"/>
      <c r="AJ26" s="1"/>
      <c r="AK26" s="1"/>
      <c r="AL26" s="1"/>
      <c r="AM26" s="1"/>
      <c r="AN26" s="1"/>
      <c r="AO26" s="1"/>
      <c r="AP26" s="1"/>
      <c r="AQ26" s="1"/>
      <c r="AR26" s="1"/>
      <c r="AS26" s="1"/>
    </row>
    <row r="27" spans="1:45">
      <c r="A27" s="1"/>
      <c r="B27" s="1"/>
      <c r="C27" s="1"/>
      <c r="D27" s="3" t="s">
        <v>27</v>
      </c>
      <c r="E27" s="3"/>
      <c r="F27" s="3" t="s">
        <v>26</v>
      </c>
      <c r="G27" s="3"/>
      <c r="H27" s="7">
        <v>0</v>
      </c>
      <c r="I27" s="7">
        <v>0</v>
      </c>
      <c r="J27" s="7">
        <v>0</v>
      </c>
      <c r="K27" s="7">
        <f t="shared" ref="K27:V27" si="4">-32/2.016/2</f>
        <v>-7.9365079365079367</v>
      </c>
      <c r="L27" s="7">
        <f t="shared" si="4"/>
        <v>-7.9365079365079367</v>
      </c>
      <c r="M27" s="7">
        <f t="shared" si="4"/>
        <v>-7.9365079365079367</v>
      </c>
      <c r="N27" s="7">
        <f t="shared" si="4"/>
        <v>-7.9365079365079367</v>
      </c>
      <c r="O27" s="7">
        <f t="shared" si="4"/>
        <v>-7.9365079365079367</v>
      </c>
      <c r="P27" s="7">
        <f t="shared" si="4"/>
        <v>-7.9365079365079367</v>
      </c>
      <c r="Q27" s="7">
        <f t="shared" si="4"/>
        <v>-7.9365079365079367</v>
      </c>
      <c r="R27" s="7">
        <f t="shared" si="4"/>
        <v>-7.9365079365079367</v>
      </c>
      <c r="S27" s="7">
        <f t="shared" si="4"/>
        <v>-7.9365079365079367</v>
      </c>
      <c r="T27" s="7">
        <f t="shared" si="4"/>
        <v>-7.9365079365079367</v>
      </c>
      <c r="U27" s="7">
        <f t="shared" si="4"/>
        <v>-7.9365079365079367</v>
      </c>
      <c r="V27" s="7">
        <f t="shared" si="4"/>
        <v>-7.9365079365079367</v>
      </c>
      <c r="W27" s="7">
        <v>0</v>
      </c>
      <c r="X27" s="7">
        <v>0</v>
      </c>
      <c r="Y27" s="7">
        <v>0</v>
      </c>
      <c r="Z27" s="6">
        <v>0</v>
      </c>
      <c r="AA27" s="6">
        <v>0</v>
      </c>
      <c r="AB27" s="6">
        <v>0</v>
      </c>
      <c r="AC27" s="1"/>
      <c r="AD27" s="1"/>
      <c r="AE27" s="1"/>
      <c r="AF27" s="1"/>
      <c r="AG27" s="1"/>
      <c r="AH27" s="1"/>
      <c r="AI27" s="1"/>
      <c r="AJ27" s="1"/>
      <c r="AK27" s="1"/>
      <c r="AL27" s="1"/>
      <c r="AM27" s="1"/>
      <c r="AN27" s="1"/>
      <c r="AO27" s="1"/>
      <c r="AP27" s="1"/>
      <c r="AQ27" s="1"/>
      <c r="AR27" s="1"/>
      <c r="AS27" s="1"/>
    </row>
    <row r="28" spans="1:45">
      <c r="A28" s="1"/>
      <c r="B28" s="1"/>
      <c r="C28" s="1"/>
      <c r="D28" s="3" t="s">
        <v>28</v>
      </c>
      <c r="E28" s="3"/>
      <c r="F28" s="11" t="s">
        <v>29</v>
      </c>
      <c r="G28" s="3"/>
      <c r="H28" s="24">
        <f>(H25*User_interface!G29+H26*User_interface!G28)</f>
        <v>1172.9691812564365</v>
      </c>
      <c r="I28" s="24">
        <f>(I25*User_interface!H29+I26*User_interface!H28)</f>
        <v>1172.9691812564365</v>
      </c>
      <c r="J28" s="24">
        <f>(J25*User_interface!I29+J26*User_interface!I28)</f>
        <v>1172.9691812564365</v>
      </c>
      <c r="K28" s="24">
        <f>K25*User_interface!G30</f>
        <v>2019.5564516129034</v>
      </c>
      <c r="L28" s="24">
        <f>L25*User_interface!H30</f>
        <v>1956.4453125</v>
      </c>
      <c r="M28" s="24">
        <f>M25*User_interface!I30</f>
        <v>1926.3461538461538</v>
      </c>
      <c r="N28" s="24">
        <f>N25*User_interface!$G31</f>
        <v>1723.3548387096776</v>
      </c>
      <c r="O28" s="24">
        <f>O25*User_interface!$H31</f>
        <v>1565.15625</v>
      </c>
      <c r="P28" s="24">
        <f>P25*User_interface!$I31</f>
        <v>1284.2307692307693</v>
      </c>
      <c r="Q28" s="24">
        <f>Q25*User_interface!G30</f>
        <v>2019.5564516129034</v>
      </c>
      <c r="R28" s="24">
        <f>R25*User_interface!H30</f>
        <v>1956.4453125</v>
      </c>
      <c r="S28" s="24">
        <f>S25*User_interface!I30</f>
        <v>1926.3461538461538</v>
      </c>
      <c r="T28" s="24">
        <f>T25*User_interface!$G31</f>
        <v>1723.3548387096776</v>
      </c>
      <c r="U28" s="24">
        <f>U25*User_interface!H31</f>
        <v>1565.15625</v>
      </c>
      <c r="V28" s="24">
        <f>V25*User_interface!I31</f>
        <v>1284.2307692307693</v>
      </c>
      <c r="W28" s="24">
        <f>(W25*User_interface!G29+W26*User_interface!G28)+User_interface!G32*W27</f>
        <v>82.35</v>
      </c>
      <c r="X28" s="24">
        <f>(X25*User_interface!H29+X26*User_interface!H28)+User_interface!H32*X27</f>
        <v>82.35</v>
      </c>
      <c r="Y28" s="24">
        <f>(Y25*User_interface!I29+Y26*User_interface!I28)+User_interface!I32*Y27</f>
        <v>82.35</v>
      </c>
      <c r="Z28" s="24">
        <f>(Z25*User_interface!G29+Z26*User_interface!G28+User_interface!G32*Z27/1000)</f>
        <v>1188.827679883105</v>
      </c>
      <c r="AA28" s="24">
        <f>(AA25*User_interface!H29+AA26*User_interface!H28+User_interface!H32*AA27/1000)</f>
        <v>1188.827679883105</v>
      </c>
      <c r="AB28" s="24">
        <f>(AB25*User_interface!I29+AB26*User_interface!I28+User_interface!I32*AB27/1000)</f>
        <v>1188.827679883105</v>
      </c>
      <c r="AC28" s="1"/>
      <c r="AD28" s="1"/>
      <c r="AE28" s="1"/>
      <c r="AF28" s="1"/>
      <c r="AG28" s="1"/>
      <c r="AH28" s="1"/>
      <c r="AI28" s="1"/>
      <c r="AJ28" s="1"/>
      <c r="AK28" s="1"/>
      <c r="AL28" s="1"/>
      <c r="AM28" s="1"/>
      <c r="AN28" s="1"/>
      <c r="AO28" s="1"/>
      <c r="AP28" s="1"/>
      <c r="AQ28" s="1"/>
      <c r="AR28" s="1"/>
      <c r="AS28" s="1"/>
    </row>
    <row r="29" spans="1:45">
      <c r="A29" s="1"/>
      <c r="B29" s="1"/>
      <c r="C29" s="1"/>
      <c r="D29" s="1"/>
      <c r="E29" s="1"/>
      <c r="F29" s="3"/>
      <c r="G29" s="1"/>
      <c r="H29" s="7"/>
      <c r="I29" s="7"/>
      <c r="J29" s="7"/>
      <c r="K29" s="7"/>
      <c r="L29" s="7"/>
      <c r="M29" s="7"/>
      <c r="N29" s="7"/>
      <c r="O29" s="7"/>
      <c r="P29" s="7"/>
      <c r="Q29" s="7"/>
      <c r="R29" s="7"/>
      <c r="S29" s="7"/>
      <c r="T29" s="7"/>
      <c r="U29" s="7"/>
      <c r="V29" s="7"/>
      <c r="W29" s="7"/>
      <c r="X29" s="7"/>
      <c r="Y29" s="7"/>
      <c r="Z29" s="6"/>
      <c r="AA29" s="6"/>
      <c r="AB29" s="6"/>
      <c r="AC29" s="1"/>
      <c r="AD29" s="1"/>
      <c r="AE29" s="1"/>
      <c r="AF29" s="1"/>
      <c r="AG29" s="1"/>
      <c r="AH29" s="1"/>
      <c r="AI29" s="1"/>
      <c r="AJ29" s="1"/>
      <c r="AK29" s="1"/>
      <c r="AL29" s="1"/>
      <c r="AM29" s="1"/>
      <c r="AN29" s="1"/>
      <c r="AO29" s="1"/>
      <c r="AP29" s="1"/>
      <c r="AQ29" s="1"/>
      <c r="AR29" s="1"/>
      <c r="AS29" s="1"/>
    </row>
    <row r="30" spans="1:45">
      <c r="A30" s="1"/>
      <c r="B30" s="4" t="s">
        <v>30</v>
      </c>
      <c r="C30" s="1"/>
      <c r="D30" s="3" t="s">
        <v>8</v>
      </c>
      <c r="E30" s="3"/>
      <c r="F30" s="3" t="s">
        <v>74</v>
      </c>
      <c r="G30" s="3"/>
      <c r="H30" s="24">
        <f>H21/(H23*H12/User_interface!$S29)*1000</f>
        <v>4287.3534706488153</v>
      </c>
      <c r="I30" s="24">
        <f>I21/(I23*I12/User_interface!$S29)*1000</f>
        <v>4287.3534706488153</v>
      </c>
      <c r="J30" s="24">
        <f>J21/(J23*J12/User_interface!$S29)*1000</f>
        <v>4287.3534706488153</v>
      </c>
      <c r="K30" s="24">
        <f>K21/(K23*K12/User_interface!$S29)*1000</f>
        <v>5479.6356868937519</v>
      </c>
      <c r="L30" s="24">
        <f>L21/(L23*L12/User_interface!$S29)*1000</f>
        <v>4423.6642263986014</v>
      </c>
      <c r="M30" s="24">
        <f>M21/(M23*M12/User_interface!$S29)*1000</f>
        <v>3484.4862829478211</v>
      </c>
      <c r="N30" s="24">
        <f>N21/(N23*N12/User_interface!$S29)*1000</f>
        <v>5479.6356868937519</v>
      </c>
      <c r="O30" s="24">
        <f>O21/(O23*O12/User_interface!$S29)*1000</f>
        <v>4423.6642263986014</v>
      </c>
      <c r="P30" s="24">
        <f>P21/(P23*P12/User_interface!$S29)*1000</f>
        <v>3484.4862829478211</v>
      </c>
      <c r="Q30" s="24">
        <f>Q21/(Q23*Q12/User_interface!$S29)*1000</f>
        <v>4067.3584480036088</v>
      </c>
      <c r="R30" s="24">
        <f>R21/(R23*R12/User_interface!$S29)*1000</f>
        <v>3055.5206512237764</v>
      </c>
      <c r="S30" s="24">
        <f>S21/(S23*S12/User_interface!$S29)*1000</f>
        <v>2137.3910704679934</v>
      </c>
      <c r="T30" s="24">
        <f>T21/(T23*T12/User_interface!$S29)*1000</f>
        <v>4067.3584480036088</v>
      </c>
      <c r="U30" s="24">
        <f>U21/(U23*U12/User_interface!$S29)*1000</f>
        <v>3055.5206512237764</v>
      </c>
      <c r="V30" s="24">
        <f>V21/(V23*V12/User_interface!$S29)*1000</f>
        <v>2137.3910704679934</v>
      </c>
      <c r="W30" s="24">
        <f>W21/(W23*W12/User_interface!$S29)*1000</f>
        <v>3059.7939122039138</v>
      </c>
      <c r="X30" s="24">
        <f>X21/(X23*X12/User_interface!$S29)*1000</f>
        <v>3059.7939122039138</v>
      </c>
      <c r="Y30" s="24">
        <f>Y21/(Y23*Y12/User_interface!$S29)*1000</f>
        <v>3059.7939122039138</v>
      </c>
      <c r="Z30" s="24">
        <f>Z21/(Z23*Z12/User_interface!$S29)*1000</f>
        <v>6954.7742984767128</v>
      </c>
      <c r="AA30" s="24">
        <f>AA21/(AA23*AA12/User_interface!$S29)*1000</f>
        <v>6954.7742984767128</v>
      </c>
      <c r="AB30" s="24">
        <f>AB21/(AB23*AB12/User_interface!$S29)*1000</f>
        <v>6954.7742984767128</v>
      </c>
      <c r="AC30" s="1"/>
      <c r="AD30" s="1"/>
      <c r="AE30" s="1"/>
      <c r="AF30" s="1"/>
      <c r="AG30" s="1"/>
      <c r="AH30" s="1"/>
      <c r="AI30" s="1"/>
      <c r="AJ30" s="1"/>
      <c r="AK30" s="1"/>
      <c r="AL30" s="1"/>
      <c r="AM30" s="1"/>
      <c r="AN30" s="1"/>
      <c r="AO30" s="1"/>
      <c r="AP30" s="1"/>
      <c r="AQ30" s="1"/>
      <c r="AR30" s="1"/>
      <c r="AS30" s="1"/>
    </row>
    <row r="31" spans="1:45">
      <c r="A31" s="1"/>
      <c r="B31" s="1"/>
      <c r="C31" s="1"/>
      <c r="D31" s="3" t="s">
        <v>31</v>
      </c>
      <c r="E31" s="3"/>
      <c r="F31" s="3"/>
      <c r="G31" s="3"/>
      <c r="H31" s="7">
        <f>User_interface!$O$28</f>
        <v>0.06</v>
      </c>
      <c r="I31" s="7">
        <f>User_interface!$O$28</f>
        <v>0.06</v>
      </c>
      <c r="J31" s="7">
        <f>User_interface!$O$28</f>
        <v>0.06</v>
      </c>
      <c r="K31" s="7">
        <f>User_interface!$O$28</f>
        <v>0.06</v>
      </c>
      <c r="L31" s="7">
        <f>User_interface!$O$28</f>
        <v>0.06</v>
      </c>
      <c r="M31" s="7">
        <f>User_interface!$O$28</f>
        <v>0.06</v>
      </c>
      <c r="N31" s="7">
        <f>User_interface!$O$29</f>
        <v>7.0000000000000007E-2</v>
      </c>
      <c r="O31" s="7">
        <f>User_interface!$O$29</f>
        <v>7.0000000000000007E-2</v>
      </c>
      <c r="P31" s="7">
        <f>User_interface!$O$29</f>
        <v>7.0000000000000007E-2</v>
      </c>
      <c r="Q31" s="7">
        <f>User_interface!$O$28</f>
        <v>0.06</v>
      </c>
      <c r="R31" s="7">
        <f>User_interface!$O$28</f>
        <v>0.06</v>
      </c>
      <c r="S31" s="7">
        <f>User_interface!$O$28</f>
        <v>0.06</v>
      </c>
      <c r="T31" s="7">
        <f>User_interface!$O$29</f>
        <v>7.0000000000000007E-2</v>
      </c>
      <c r="U31" s="7">
        <f>User_interface!$O$29</f>
        <v>7.0000000000000007E-2</v>
      </c>
      <c r="V31" s="7">
        <f>User_interface!$O$29</f>
        <v>7.0000000000000007E-2</v>
      </c>
      <c r="W31" s="7">
        <f>User_interface!$O$28</f>
        <v>0.06</v>
      </c>
      <c r="X31" s="7">
        <f>User_interface!$O$28</f>
        <v>0.06</v>
      </c>
      <c r="Y31" s="7">
        <f>User_interface!$O$28</f>
        <v>0.06</v>
      </c>
      <c r="Z31" s="7">
        <f>User_interface!$O$28</f>
        <v>0.06</v>
      </c>
      <c r="AA31" s="7">
        <f>User_interface!$O$28</f>
        <v>0.06</v>
      </c>
      <c r="AB31" s="7">
        <f>User_interface!$O$28</f>
        <v>0.06</v>
      </c>
      <c r="AC31" s="1"/>
      <c r="AD31" s="1"/>
      <c r="AE31" s="1"/>
      <c r="AF31" s="1"/>
      <c r="AG31" s="1"/>
      <c r="AH31" s="1"/>
      <c r="AI31" s="1"/>
      <c r="AJ31" s="1"/>
      <c r="AK31" s="1"/>
      <c r="AL31" s="1"/>
      <c r="AM31" s="1"/>
      <c r="AN31" s="1"/>
      <c r="AO31" s="1"/>
      <c r="AP31" s="1"/>
      <c r="AQ31" s="1"/>
      <c r="AR31" s="1"/>
      <c r="AS31" s="1"/>
    </row>
    <row r="32" spans="1:45">
      <c r="A32" s="1"/>
      <c r="B32" s="1"/>
      <c r="C32" s="1"/>
      <c r="D32" s="3" t="s">
        <v>73</v>
      </c>
      <c r="E32" s="3"/>
      <c r="F32" s="3"/>
      <c r="G32" s="3"/>
      <c r="H32" s="22">
        <f t="shared" ref="H32:AB32" si="5">(H31*(1+H31)^H22)/((1+H31)^H22-1)</f>
        <v>6.6461535920675496E-2</v>
      </c>
      <c r="I32" s="22">
        <f t="shared" si="5"/>
        <v>6.6461535920675496E-2</v>
      </c>
      <c r="J32" s="22">
        <f t="shared" si="5"/>
        <v>6.6461535920675496E-2</v>
      </c>
      <c r="K32" s="22">
        <f t="shared" si="5"/>
        <v>7.2648911490047194E-2</v>
      </c>
      <c r="L32" s="22">
        <f t="shared" si="5"/>
        <v>7.2648911490047194E-2</v>
      </c>
      <c r="M32" s="22">
        <f t="shared" si="5"/>
        <v>7.2648911490047194E-2</v>
      </c>
      <c r="N32" s="22">
        <f t="shared" si="5"/>
        <v>8.0586403511111196E-2</v>
      </c>
      <c r="O32" s="22">
        <f t="shared" si="5"/>
        <v>8.0586403511111196E-2</v>
      </c>
      <c r="P32" s="22">
        <f t="shared" si="5"/>
        <v>8.0586403511111196E-2</v>
      </c>
      <c r="Q32" s="22">
        <f t="shared" si="5"/>
        <v>7.2648911490047194E-2</v>
      </c>
      <c r="R32" s="22">
        <f t="shared" si="5"/>
        <v>7.2648911490047194E-2</v>
      </c>
      <c r="S32" s="22">
        <f t="shared" si="5"/>
        <v>7.2648911490047194E-2</v>
      </c>
      <c r="T32" s="22">
        <f t="shared" si="5"/>
        <v>8.0586403511111196E-2</v>
      </c>
      <c r="U32" s="22">
        <f t="shared" si="5"/>
        <v>8.0586403511111196E-2</v>
      </c>
      <c r="V32" s="22">
        <f t="shared" si="5"/>
        <v>8.0586403511111196E-2</v>
      </c>
      <c r="W32" s="22">
        <f t="shared" si="5"/>
        <v>7.8226718212273949E-2</v>
      </c>
      <c r="X32" s="22">
        <f t="shared" si="5"/>
        <v>7.8226718212273949E-2</v>
      </c>
      <c r="Y32" s="22">
        <f t="shared" si="5"/>
        <v>7.8226718212273949E-2</v>
      </c>
      <c r="Z32" s="22">
        <f t="shared" si="5"/>
        <v>7.8226718212273949E-2</v>
      </c>
      <c r="AA32" s="22">
        <f t="shared" si="5"/>
        <v>7.8226718212273949E-2</v>
      </c>
      <c r="AB32" s="22">
        <f t="shared" si="5"/>
        <v>7.8226718212273949E-2</v>
      </c>
      <c r="AC32" s="1"/>
      <c r="AD32" s="1"/>
      <c r="AE32" s="1"/>
      <c r="AF32" s="1"/>
      <c r="AG32" s="1"/>
      <c r="AH32" s="1"/>
      <c r="AI32" s="1"/>
      <c r="AJ32" s="1"/>
      <c r="AK32" s="1"/>
      <c r="AL32" s="1"/>
      <c r="AM32" s="1"/>
      <c r="AN32" s="1"/>
      <c r="AO32" s="1"/>
      <c r="AP32" s="1"/>
      <c r="AQ32" s="1"/>
      <c r="AR32" s="1"/>
      <c r="AS32" s="1"/>
    </row>
    <row r="33" spans="1:45">
      <c r="A33" s="1"/>
      <c r="B33" s="1"/>
      <c r="C33" s="1"/>
      <c r="D33" s="3" t="s">
        <v>75</v>
      </c>
      <c r="E33" s="3"/>
      <c r="F33" s="3" t="s">
        <v>74</v>
      </c>
      <c r="G33" s="3"/>
      <c r="H33" s="24">
        <f t="shared" ref="H33:AB33" si="6">H30*H32</f>
        <v>284.94409669415899</v>
      </c>
      <c r="I33" s="24">
        <f t="shared" si="6"/>
        <v>284.94409669415899</v>
      </c>
      <c r="J33" s="24">
        <f t="shared" si="6"/>
        <v>284.94409669415899</v>
      </c>
      <c r="K33" s="24">
        <f t="shared" si="6"/>
        <v>398.08956801484811</v>
      </c>
      <c r="L33" s="24">
        <f t="shared" si="6"/>
        <v>321.37439084532008</v>
      </c>
      <c r="M33" s="24">
        <f t="shared" si="6"/>
        <v>253.1441355581598</v>
      </c>
      <c r="N33" s="24">
        <f t="shared" si="6"/>
        <v>441.58413255790487</v>
      </c>
      <c r="O33" s="24">
        <f t="shared" si="6"/>
        <v>356.48719034622525</v>
      </c>
      <c r="P33" s="24">
        <f t="shared" si="6"/>
        <v>280.8022176265651</v>
      </c>
      <c r="Q33" s="24">
        <f t="shared" si="6"/>
        <v>295.48916388730987</v>
      </c>
      <c r="R33" s="24">
        <f t="shared" si="6"/>
        <v>221.98024934676749</v>
      </c>
      <c r="S33" s="24">
        <f t="shared" si="6"/>
        <v>155.27913469804648</v>
      </c>
      <c r="T33" s="24">
        <f t="shared" si="6"/>
        <v>327.7737891151458</v>
      </c>
      <c r="U33" s="24">
        <f t="shared" si="6"/>
        <v>246.2334201360525</v>
      </c>
      <c r="V33" s="24">
        <f t="shared" si="6"/>
        <v>172.24465926577963</v>
      </c>
      <c r="W33" s="24">
        <f t="shared" si="6"/>
        <v>239.35763615760686</v>
      </c>
      <c r="X33" s="24">
        <f t="shared" si="6"/>
        <v>239.35763615760686</v>
      </c>
      <c r="Y33" s="24">
        <f t="shared" si="6"/>
        <v>239.35763615760686</v>
      </c>
      <c r="Z33" s="24">
        <f t="shared" si="6"/>
        <v>544.04916927690306</v>
      </c>
      <c r="AA33" s="24">
        <f t="shared" si="6"/>
        <v>544.04916927690306</v>
      </c>
      <c r="AB33" s="24">
        <f t="shared" si="6"/>
        <v>544.04916927690306</v>
      </c>
      <c r="AC33" s="1"/>
      <c r="AD33" s="1"/>
      <c r="AE33" s="1"/>
      <c r="AF33" s="1"/>
      <c r="AG33" s="1"/>
      <c r="AH33" s="1"/>
      <c r="AI33" s="1"/>
      <c r="AJ33" s="1"/>
      <c r="AK33" s="1"/>
      <c r="AL33" s="1"/>
      <c r="AM33" s="1"/>
      <c r="AN33" s="1"/>
      <c r="AO33" s="1"/>
      <c r="AP33" s="1"/>
      <c r="AQ33" s="1"/>
      <c r="AR33" s="1"/>
      <c r="AS33" s="1"/>
    </row>
    <row r="34" spans="1:45">
      <c r="A34" s="1"/>
      <c r="B34" s="1"/>
      <c r="C34" s="1"/>
      <c r="D34" s="3"/>
      <c r="E34" s="3"/>
      <c r="F34" s="11"/>
      <c r="G34" s="3"/>
      <c r="H34" s="7"/>
      <c r="I34" s="7"/>
      <c r="J34" s="7"/>
      <c r="K34" s="7"/>
      <c r="L34" s="7"/>
      <c r="M34" s="7"/>
      <c r="N34" s="7"/>
      <c r="O34" s="7"/>
      <c r="P34" s="7"/>
      <c r="Q34" s="7"/>
      <c r="R34" s="7"/>
      <c r="S34" s="7"/>
      <c r="T34" s="7"/>
      <c r="U34" s="7"/>
      <c r="V34" s="7"/>
      <c r="W34" s="7"/>
      <c r="X34" s="7"/>
      <c r="Y34" s="7"/>
      <c r="Z34" s="7"/>
      <c r="AA34" s="7"/>
      <c r="AB34" s="7"/>
      <c r="AC34" s="1"/>
      <c r="AD34" s="1"/>
      <c r="AE34" s="1"/>
      <c r="AF34" s="1"/>
      <c r="AG34" s="1"/>
      <c r="AH34" s="1"/>
      <c r="AI34" s="1"/>
      <c r="AJ34" s="1"/>
      <c r="AK34" s="1"/>
      <c r="AL34" s="1"/>
      <c r="AM34" s="1"/>
      <c r="AN34" s="1"/>
      <c r="AO34" s="1"/>
      <c r="AP34" s="1"/>
      <c r="AQ34" s="1"/>
      <c r="AR34" s="1"/>
      <c r="AS34" s="1"/>
    </row>
    <row r="35" spans="1:45">
      <c r="A35" s="1"/>
      <c r="B35" s="1"/>
      <c r="C35" s="1"/>
      <c r="D35" s="3"/>
      <c r="E35" s="3"/>
      <c r="F35" s="11"/>
      <c r="G35" s="3"/>
      <c r="H35" s="7"/>
      <c r="I35" s="7"/>
      <c r="J35" s="7"/>
      <c r="K35" s="7"/>
      <c r="L35" s="7"/>
      <c r="M35" s="7"/>
      <c r="N35" s="7"/>
      <c r="O35" s="7"/>
      <c r="P35" s="7"/>
      <c r="Q35" s="7"/>
      <c r="R35" s="7"/>
      <c r="S35" s="7"/>
      <c r="T35" s="7"/>
      <c r="U35" s="7"/>
      <c r="V35" s="7"/>
      <c r="W35" s="7"/>
      <c r="X35" s="7"/>
      <c r="Y35" s="7"/>
      <c r="Z35" s="7"/>
      <c r="AA35" s="7"/>
      <c r="AB35" s="7"/>
      <c r="AC35" s="1"/>
      <c r="AD35" s="1"/>
      <c r="AE35" s="1"/>
      <c r="AF35" s="1"/>
      <c r="AG35" s="1"/>
      <c r="AH35" s="1"/>
      <c r="AI35" s="1"/>
      <c r="AJ35" s="1"/>
      <c r="AK35" s="1"/>
      <c r="AL35" s="1"/>
      <c r="AM35" s="1"/>
      <c r="AN35" s="1"/>
      <c r="AO35" s="1"/>
      <c r="AP35" s="1"/>
      <c r="AQ35" s="1"/>
      <c r="AR35" s="1"/>
      <c r="AS35" s="1"/>
    </row>
    <row r="36" spans="1:45">
      <c r="A36" s="1"/>
      <c r="B36" s="1"/>
      <c r="C36" s="1"/>
      <c r="D36" s="3" t="s">
        <v>32</v>
      </c>
      <c r="E36" s="3"/>
      <c r="F36" s="3" t="s">
        <v>33</v>
      </c>
      <c r="G36" s="3"/>
      <c r="H36" s="31">
        <v>5</v>
      </c>
      <c r="I36" s="31">
        <v>5</v>
      </c>
      <c r="J36" s="31">
        <v>5</v>
      </c>
      <c r="K36" s="31">
        <v>3</v>
      </c>
      <c r="L36" s="31">
        <v>3</v>
      </c>
      <c r="M36" s="31">
        <v>3</v>
      </c>
      <c r="N36" s="31">
        <v>3</v>
      </c>
      <c r="O36" s="31">
        <v>3</v>
      </c>
      <c r="P36" s="31">
        <v>3</v>
      </c>
      <c r="Q36" s="31">
        <v>3</v>
      </c>
      <c r="R36" s="31">
        <v>3</v>
      </c>
      <c r="S36" s="31">
        <v>3</v>
      </c>
      <c r="T36" s="31">
        <v>3</v>
      </c>
      <c r="U36" s="31">
        <v>3</v>
      </c>
      <c r="V36" s="31">
        <v>3</v>
      </c>
      <c r="W36" s="31">
        <v>5</v>
      </c>
      <c r="X36" s="31">
        <v>5</v>
      </c>
      <c r="Y36" s="31">
        <v>5</v>
      </c>
      <c r="Z36" s="31">
        <v>5</v>
      </c>
      <c r="AA36" s="31">
        <v>5</v>
      </c>
      <c r="AB36" s="31">
        <v>5</v>
      </c>
      <c r="AC36" s="1"/>
      <c r="AD36" s="1"/>
      <c r="AE36" s="1"/>
      <c r="AF36" s="1"/>
      <c r="AG36" s="1"/>
      <c r="AH36" s="1"/>
      <c r="AI36" s="1"/>
      <c r="AJ36" s="1"/>
      <c r="AK36" s="1"/>
      <c r="AL36" s="1"/>
      <c r="AM36" s="1"/>
      <c r="AN36" s="1"/>
      <c r="AO36" s="1"/>
      <c r="AP36" s="1"/>
      <c r="AQ36" s="1"/>
      <c r="AR36" s="1"/>
      <c r="AS36" s="1"/>
    </row>
    <row r="37" spans="1:45">
      <c r="A37" s="1"/>
      <c r="B37" s="1"/>
      <c r="C37" s="1"/>
      <c r="D37" s="3" t="s">
        <v>32</v>
      </c>
      <c r="E37" s="3"/>
      <c r="F37" s="11" t="s">
        <v>29</v>
      </c>
      <c r="G37" s="3"/>
      <c r="H37" s="32">
        <f t="shared" ref="H37:AB37" si="7">H36/100*H30</f>
        <v>214.36767353244079</v>
      </c>
      <c r="I37" s="32">
        <f t="shared" si="7"/>
        <v>214.36767353244079</v>
      </c>
      <c r="J37" s="32">
        <f t="shared" si="7"/>
        <v>214.36767353244079</v>
      </c>
      <c r="K37" s="32">
        <f t="shared" si="7"/>
        <v>164.38907060681254</v>
      </c>
      <c r="L37" s="32">
        <f t="shared" si="7"/>
        <v>132.70992679195803</v>
      </c>
      <c r="M37" s="32">
        <f t="shared" si="7"/>
        <v>104.53458848843464</v>
      </c>
      <c r="N37" s="32">
        <f t="shared" si="7"/>
        <v>164.38907060681254</v>
      </c>
      <c r="O37" s="32">
        <f t="shared" si="7"/>
        <v>132.70992679195803</v>
      </c>
      <c r="P37" s="32">
        <f t="shared" si="7"/>
        <v>104.53458848843464</v>
      </c>
      <c r="Q37" s="32">
        <f t="shared" si="7"/>
        <v>122.02075344010827</v>
      </c>
      <c r="R37" s="32">
        <f t="shared" si="7"/>
        <v>91.665619536713294</v>
      </c>
      <c r="S37" s="32">
        <f t="shared" si="7"/>
        <v>64.121732114039801</v>
      </c>
      <c r="T37" s="32">
        <f t="shared" si="7"/>
        <v>122.02075344010827</v>
      </c>
      <c r="U37" s="32">
        <f t="shared" si="7"/>
        <v>91.665619536713294</v>
      </c>
      <c r="V37" s="32">
        <f t="shared" si="7"/>
        <v>64.121732114039801</v>
      </c>
      <c r="W37" s="32">
        <f t="shared" si="7"/>
        <v>152.9896956101957</v>
      </c>
      <c r="X37" s="32">
        <f t="shared" si="7"/>
        <v>152.9896956101957</v>
      </c>
      <c r="Y37" s="32">
        <f t="shared" si="7"/>
        <v>152.9896956101957</v>
      </c>
      <c r="Z37" s="32">
        <f t="shared" si="7"/>
        <v>347.73871492383569</v>
      </c>
      <c r="AA37" s="32">
        <f t="shared" si="7"/>
        <v>347.73871492383569</v>
      </c>
      <c r="AB37" s="32">
        <f t="shared" si="7"/>
        <v>347.73871492383569</v>
      </c>
      <c r="AC37" s="1"/>
      <c r="AD37" s="1"/>
      <c r="AE37" s="1"/>
      <c r="AF37" s="1"/>
      <c r="AG37" s="1"/>
      <c r="AH37" s="1"/>
      <c r="AI37" s="1"/>
      <c r="AJ37" s="1"/>
      <c r="AK37" s="1"/>
      <c r="AL37" s="1"/>
      <c r="AM37" s="1"/>
      <c r="AN37" s="1"/>
      <c r="AO37" s="1"/>
      <c r="AP37" s="1"/>
      <c r="AQ37" s="1"/>
      <c r="AR37" s="1"/>
      <c r="AS37" s="1"/>
    </row>
    <row r="38" spans="1:45">
      <c r="A38" s="1"/>
      <c r="B38" s="1"/>
      <c r="C38" s="1"/>
      <c r="D38" s="3"/>
      <c r="E38" s="3"/>
      <c r="F38" s="11"/>
      <c r="G38" s="3"/>
      <c r="H38" s="32"/>
      <c r="I38" s="32"/>
      <c r="J38" s="32"/>
      <c r="K38" s="32"/>
      <c r="L38" s="32"/>
      <c r="M38" s="32"/>
      <c r="N38" s="32"/>
      <c r="O38" s="32"/>
      <c r="P38" s="32"/>
      <c r="Q38" s="32"/>
      <c r="R38" s="32"/>
      <c r="S38" s="32"/>
      <c r="T38" s="32"/>
      <c r="U38" s="32"/>
      <c r="V38" s="32"/>
      <c r="W38" s="32"/>
      <c r="X38" s="32"/>
      <c r="Y38" s="32"/>
      <c r="Z38" s="32"/>
      <c r="AA38" s="32"/>
      <c r="AB38" s="32"/>
      <c r="AC38" s="1"/>
      <c r="AD38" s="1"/>
      <c r="AE38" s="1"/>
      <c r="AF38" s="1"/>
      <c r="AG38" s="1"/>
      <c r="AH38" s="1"/>
      <c r="AI38" s="1"/>
      <c r="AJ38" s="1"/>
      <c r="AK38" s="1"/>
      <c r="AL38" s="1"/>
      <c r="AM38" s="1"/>
      <c r="AN38" s="1"/>
      <c r="AO38" s="1"/>
      <c r="AP38" s="1"/>
      <c r="AQ38" s="1"/>
      <c r="AR38" s="1"/>
      <c r="AS38" s="1"/>
    </row>
    <row r="39" spans="1:45">
      <c r="A39" s="1"/>
      <c r="B39" s="1"/>
      <c r="C39" s="1"/>
      <c r="D39" s="3" t="s">
        <v>109</v>
      </c>
      <c r="E39" s="3"/>
      <c r="F39" s="11" t="s">
        <v>29</v>
      </c>
      <c r="G39" s="3"/>
      <c r="H39" s="24">
        <f t="shared" ref="H39:AB39" si="8">H33+H37</f>
        <v>499.31177022659978</v>
      </c>
      <c r="I39" s="24">
        <f t="shared" si="8"/>
        <v>499.31177022659978</v>
      </c>
      <c r="J39" s="24">
        <f t="shared" si="8"/>
        <v>499.31177022659978</v>
      </c>
      <c r="K39" s="24">
        <f t="shared" si="8"/>
        <v>562.47863862166059</v>
      </c>
      <c r="L39" s="24">
        <f t="shared" si="8"/>
        <v>454.0843176372781</v>
      </c>
      <c r="M39" s="24">
        <f t="shared" si="8"/>
        <v>357.67872404659443</v>
      </c>
      <c r="N39" s="24">
        <f t="shared" si="8"/>
        <v>605.97320316471746</v>
      </c>
      <c r="O39" s="24">
        <f t="shared" si="8"/>
        <v>489.19711713818327</v>
      </c>
      <c r="P39" s="24">
        <f t="shared" si="8"/>
        <v>385.33680611499972</v>
      </c>
      <c r="Q39" s="24">
        <f t="shared" si="8"/>
        <v>417.50991732741812</v>
      </c>
      <c r="R39" s="24">
        <f t="shared" si="8"/>
        <v>313.64586888348077</v>
      </c>
      <c r="S39" s="24">
        <f t="shared" si="8"/>
        <v>219.40086681208629</v>
      </c>
      <c r="T39" s="24">
        <f t="shared" si="8"/>
        <v>449.79454255525405</v>
      </c>
      <c r="U39" s="24">
        <f t="shared" si="8"/>
        <v>337.89903967276581</v>
      </c>
      <c r="V39" s="24">
        <f t="shared" si="8"/>
        <v>236.36639137981945</v>
      </c>
      <c r="W39" s="24">
        <f t="shared" si="8"/>
        <v>392.34733176780253</v>
      </c>
      <c r="X39" s="24">
        <f t="shared" si="8"/>
        <v>392.34733176780253</v>
      </c>
      <c r="Y39" s="24">
        <f t="shared" si="8"/>
        <v>392.34733176780253</v>
      </c>
      <c r="Z39" s="24">
        <f t="shared" si="8"/>
        <v>891.78788420073874</v>
      </c>
      <c r="AA39" s="24">
        <f t="shared" si="8"/>
        <v>891.78788420073874</v>
      </c>
      <c r="AB39" s="24">
        <f t="shared" si="8"/>
        <v>891.78788420073874</v>
      </c>
      <c r="AC39" s="1"/>
      <c r="AD39" s="1"/>
      <c r="AE39" s="1"/>
      <c r="AF39" s="1"/>
      <c r="AG39" s="1"/>
      <c r="AH39" s="1"/>
      <c r="AI39" s="1"/>
      <c r="AJ39" s="1"/>
      <c r="AK39" s="1"/>
      <c r="AL39" s="1"/>
      <c r="AM39" s="1"/>
      <c r="AN39" s="1"/>
      <c r="AO39" s="1"/>
      <c r="AP39" s="1"/>
      <c r="AQ39" s="1"/>
      <c r="AR39" s="1"/>
      <c r="AS39" s="1"/>
    </row>
    <row r="40" spans="1:45">
      <c r="A40" s="1"/>
      <c r="B40" s="1"/>
      <c r="C40" s="1"/>
      <c r="D40" s="1"/>
      <c r="E40" s="1"/>
      <c r="F40" s="1"/>
      <c r="G40" s="1"/>
      <c r="H40" s="6"/>
      <c r="I40" s="6"/>
      <c r="J40" s="6"/>
      <c r="K40" s="6"/>
      <c r="L40" s="6"/>
      <c r="M40" s="6"/>
      <c r="N40" s="6"/>
      <c r="O40" s="6"/>
      <c r="P40" s="6"/>
      <c r="Q40" s="6"/>
      <c r="R40" s="6"/>
      <c r="S40" s="6"/>
      <c r="T40" s="6"/>
      <c r="U40" s="6"/>
      <c r="V40" s="6"/>
      <c r="W40" s="6"/>
      <c r="X40" s="6"/>
      <c r="Y40" s="6"/>
      <c r="Z40" s="6"/>
      <c r="AA40" s="6"/>
      <c r="AB40" s="6"/>
      <c r="AC40" s="1"/>
      <c r="AD40" s="1"/>
      <c r="AE40" s="1"/>
      <c r="AF40" s="1"/>
      <c r="AG40" s="1"/>
      <c r="AH40" s="1"/>
      <c r="AI40" s="1"/>
      <c r="AJ40" s="1"/>
      <c r="AK40" s="1"/>
      <c r="AL40" s="1"/>
      <c r="AM40" s="1"/>
      <c r="AN40" s="1"/>
      <c r="AO40" s="1"/>
      <c r="AP40" s="1"/>
      <c r="AQ40" s="1"/>
      <c r="AR40" s="1"/>
      <c r="AS40" s="1"/>
    </row>
    <row r="41" spans="1:45">
      <c r="A41" s="1"/>
      <c r="B41" s="4" t="s">
        <v>34</v>
      </c>
      <c r="C41" s="1"/>
      <c r="D41" s="3" t="s">
        <v>35</v>
      </c>
      <c r="E41" s="3"/>
      <c r="F41" s="3" t="s">
        <v>36</v>
      </c>
      <c r="G41" s="3"/>
      <c r="H41" s="7"/>
      <c r="I41" s="7"/>
      <c r="J41" s="7"/>
      <c r="K41" s="7">
        <f t="shared" ref="K41:V41" si="9">-K27</f>
        <v>7.9365079365079367</v>
      </c>
      <c r="L41" s="7">
        <f t="shared" si="9"/>
        <v>7.9365079365079367</v>
      </c>
      <c r="M41" s="7">
        <f t="shared" si="9"/>
        <v>7.9365079365079367</v>
      </c>
      <c r="N41" s="7">
        <f t="shared" si="9"/>
        <v>7.9365079365079367</v>
      </c>
      <c r="O41" s="7">
        <f t="shared" si="9"/>
        <v>7.9365079365079367</v>
      </c>
      <c r="P41" s="7">
        <f t="shared" si="9"/>
        <v>7.9365079365079367</v>
      </c>
      <c r="Q41" s="7">
        <f t="shared" si="9"/>
        <v>7.9365079365079367</v>
      </c>
      <c r="R41" s="7">
        <f t="shared" si="9"/>
        <v>7.9365079365079367</v>
      </c>
      <c r="S41" s="7">
        <f t="shared" si="9"/>
        <v>7.9365079365079367</v>
      </c>
      <c r="T41" s="7">
        <f t="shared" si="9"/>
        <v>7.9365079365079367</v>
      </c>
      <c r="U41" s="7">
        <f t="shared" si="9"/>
        <v>7.9365079365079367</v>
      </c>
      <c r="V41" s="7">
        <f t="shared" si="9"/>
        <v>7.9365079365079367</v>
      </c>
      <c r="W41" s="7"/>
      <c r="X41" s="7"/>
      <c r="Y41" s="7"/>
      <c r="Z41" s="6"/>
      <c r="AA41" s="6"/>
      <c r="AB41" s="6"/>
      <c r="AC41" s="1"/>
      <c r="AD41" s="1"/>
      <c r="AE41" s="1"/>
      <c r="AF41" s="1"/>
      <c r="AG41" s="1"/>
      <c r="AH41" s="1"/>
      <c r="AI41" s="1"/>
      <c r="AJ41" s="1"/>
      <c r="AK41" s="1"/>
      <c r="AL41" s="1"/>
      <c r="AM41" s="1"/>
      <c r="AN41" s="1"/>
      <c r="AO41" s="1"/>
      <c r="AP41" s="1"/>
      <c r="AQ41" s="1"/>
      <c r="AR41" s="1"/>
      <c r="AS41" s="1"/>
    </row>
    <row r="42" spans="1:45">
      <c r="A42" s="1"/>
      <c r="B42" s="1"/>
      <c r="C42" s="1"/>
      <c r="D42" s="3" t="s">
        <v>37</v>
      </c>
      <c r="E42" s="3"/>
      <c r="F42" s="3" t="s">
        <v>36</v>
      </c>
      <c r="G42" s="3"/>
      <c r="H42" s="7"/>
      <c r="I42" s="7"/>
      <c r="J42" s="7"/>
      <c r="K42" s="9">
        <f t="shared" ref="K42:V42" si="10">K41</f>
        <v>7.9365079365079367</v>
      </c>
      <c r="L42" s="9">
        <f t="shared" si="10"/>
        <v>7.9365079365079367</v>
      </c>
      <c r="M42" s="9">
        <f t="shared" si="10"/>
        <v>7.9365079365079367</v>
      </c>
      <c r="N42" s="9">
        <f t="shared" si="10"/>
        <v>7.9365079365079367</v>
      </c>
      <c r="O42" s="9">
        <f t="shared" si="10"/>
        <v>7.9365079365079367</v>
      </c>
      <c r="P42" s="9">
        <f t="shared" si="10"/>
        <v>7.9365079365079367</v>
      </c>
      <c r="Q42" s="9">
        <f t="shared" si="10"/>
        <v>7.9365079365079367</v>
      </c>
      <c r="R42" s="9">
        <f t="shared" si="10"/>
        <v>7.9365079365079367</v>
      </c>
      <c r="S42" s="9">
        <f t="shared" si="10"/>
        <v>7.9365079365079367</v>
      </c>
      <c r="T42" s="9">
        <f t="shared" si="10"/>
        <v>7.9365079365079367</v>
      </c>
      <c r="U42" s="9">
        <f t="shared" si="10"/>
        <v>7.9365079365079367</v>
      </c>
      <c r="V42" s="9">
        <f t="shared" si="10"/>
        <v>7.9365079365079367</v>
      </c>
      <c r="W42" s="7"/>
      <c r="X42" s="7"/>
      <c r="Y42" s="7"/>
      <c r="Z42" s="6"/>
      <c r="AA42" s="6"/>
      <c r="AB42" s="6"/>
      <c r="AC42" s="1"/>
      <c r="AD42" s="1"/>
      <c r="AE42" s="1"/>
      <c r="AF42" s="1"/>
      <c r="AG42" s="1"/>
      <c r="AH42" s="1"/>
      <c r="AI42" s="1"/>
      <c r="AJ42" s="1"/>
      <c r="AK42" s="1"/>
      <c r="AL42" s="1"/>
      <c r="AM42" s="1"/>
      <c r="AN42" s="1"/>
      <c r="AO42" s="1"/>
      <c r="AP42" s="1"/>
      <c r="AQ42" s="1"/>
      <c r="AR42" s="1"/>
      <c r="AS42" s="1"/>
    </row>
    <row r="43" spans="1:45">
      <c r="A43" s="1"/>
      <c r="B43" s="1"/>
      <c r="C43" s="1"/>
      <c r="D43" s="3" t="s">
        <v>38</v>
      </c>
      <c r="E43" s="3"/>
      <c r="F43" s="3" t="s">
        <v>39</v>
      </c>
      <c r="G43" s="3"/>
      <c r="H43" s="7"/>
      <c r="I43" s="7"/>
      <c r="J43" s="7"/>
      <c r="K43" s="7">
        <f>K42*User_interface!$G$32</f>
        <v>214.28571428571428</v>
      </c>
      <c r="L43" s="7">
        <f>L42*User_interface!$G$32</f>
        <v>214.28571428571428</v>
      </c>
      <c r="M43" s="7">
        <f>M42*User_interface!$G$32</f>
        <v>214.28571428571428</v>
      </c>
      <c r="N43" s="7">
        <f>N42*User_interface!$G$32</f>
        <v>214.28571428571428</v>
      </c>
      <c r="O43" s="7">
        <f>O42*User_interface!$G$32</f>
        <v>214.28571428571428</v>
      </c>
      <c r="P43" s="7">
        <f>P42*User_interface!$G$32</f>
        <v>214.28571428571428</v>
      </c>
      <c r="Q43" s="7">
        <f>Q42*User_interface!$G$32</f>
        <v>214.28571428571428</v>
      </c>
      <c r="R43" s="7">
        <f>R42*User_interface!$G$32</f>
        <v>214.28571428571428</v>
      </c>
      <c r="S43" s="7">
        <f>S42*User_interface!$G$32</f>
        <v>214.28571428571428</v>
      </c>
      <c r="T43" s="7">
        <f>T42*User_interface!$G$32</f>
        <v>214.28571428571428</v>
      </c>
      <c r="U43" s="7">
        <f>U42*User_interface!$G$32</f>
        <v>214.28571428571428</v>
      </c>
      <c r="V43" s="7">
        <f>V42*User_interface!$G$32</f>
        <v>214.28571428571428</v>
      </c>
      <c r="W43" s="7"/>
      <c r="X43" s="7"/>
      <c r="Y43" s="7"/>
      <c r="Z43" s="6"/>
      <c r="AA43" s="6"/>
      <c r="AB43" s="6"/>
      <c r="AC43" s="1"/>
      <c r="AD43" s="1" t="s">
        <v>116</v>
      </c>
      <c r="AE43" s="1"/>
      <c r="AF43" s="1"/>
      <c r="AG43" s="1"/>
      <c r="AH43" s="1"/>
      <c r="AI43" s="1"/>
      <c r="AJ43" s="1"/>
      <c r="AK43" s="1"/>
      <c r="AL43" s="1"/>
      <c r="AM43" s="1"/>
      <c r="AN43" s="1"/>
      <c r="AO43" s="1"/>
      <c r="AP43" s="1"/>
      <c r="AQ43" s="1"/>
      <c r="AR43" s="1"/>
      <c r="AS43" s="1"/>
    </row>
    <row r="44" spans="1:45">
      <c r="A44" s="1"/>
      <c r="B44" s="1"/>
      <c r="C44" s="1"/>
      <c r="D44" s="3" t="s">
        <v>40</v>
      </c>
      <c r="E44" s="3"/>
      <c r="F44" s="3" t="s">
        <v>41</v>
      </c>
      <c r="G44" s="3"/>
      <c r="H44" s="7"/>
      <c r="I44" s="7"/>
      <c r="J44" s="7"/>
      <c r="K44" s="7">
        <v>75</v>
      </c>
      <c r="L44" s="7">
        <v>75</v>
      </c>
      <c r="M44" s="7">
        <v>75</v>
      </c>
      <c r="N44" s="7">
        <v>75</v>
      </c>
      <c r="O44" s="7">
        <v>75</v>
      </c>
      <c r="P44" s="7">
        <v>75</v>
      </c>
      <c r="Q44" s="7">
        <v>50</v>
      </c>
      <c r="R44" s="7">
        <v>50</v>
      </c>
      <c r="S44" s="7">
        <v>50</v>
      </c>
      <c r="T44" s="7">
        <v>75</v>
      </c>
      <c r="U44" s="7">
        <v>75</v>
      </c>
      <c r="V44" s="7">
        <v>75</v>
      </c>
      <c r="W44" s="7"/>
      <c r="X44" s="7"/>
      <c r="Y44" s="7"/>
      <c r="Z44" s="6"/>
      <c r="AA44" s="6"/>
      <c r="AB44" s="6"/>
      <c r="AC44" s="1"/>
      <c r="AD44" s="1" t="s">
        <v>121</v>
      </c>
      <c r="AE44" s="1"/>
      <c r="AF44" s="1"/>
      <c r="AG44" s="1"/>
      <c r="AH44" s="1"/>
      <c r="AI44" s="1"/>
      <c r="AJ44" s="1"/>
      <c r="AK44" s="1"/>
      <c r="AL44" s="1"/>
      <c r="AM44" s="1"/>
      <c r="AN44" s="1"/>
      <c r="AO44" s="1"/>
      <c r="AP44" s="1"/>
      <c r="AQ44" s="1"/>
      <c r="AR44" s="1"/>
      <c r="AS44" s="1"/>
    </row>
    <row r="45" spans="1:45">
      <c r="A45" s="1"/>
      <c r="B45" s="1"/>
      <c r="C45" s="1"/>
      <c r="D45" s="3" t="s">
        <v>42</v>
      </c>
      <c r="E45" s="3"/>
      <c r="F45" s="3" t="s">
        <v>43</v>
      </c>
      <c r="G45" s="3"/>
      <c r="H45" s="7"/>
      <c r="I45" s="7"/>
      <c r="J45" s="7"/>
      <c r="K45" s="9">
        <v>0</v>
      </c>
      <c r="L45" s="9">
        <v>0</v>
      </c>
      <c r="M45" s="9">
        <v>0</v>
      </c>
      <c r="N45" s="9">
        <v>0</v>
      </c>
      <c r="O45" s="9">
        <v>0</v>
      </c>
      <c r="P45" s="9">
        <v>0</v>
      </c>
      <c r="Q45" s="9">
        <v>0</v>
      </c>
      <c r="R45" s="9">
        <v>0</v>
      </c>
      <c r="S45" s="9">
        <v>0</v>
      </c>
      <c r="T45" s="9">
        <v>0</v>
      </c>
      <c r="U45" s="9">
        <v>0</v>
      </c>
      <c r="V45" s="9">
        <v>0</v>
      </c>
      <c r="W45" s="7"/>
      <c r="X45" s="7"/>
      <c r="Y45" s="7"/>
      <c r="Z45" s="6"/>
      <c r="AA45" s="6"/>
      <c r="AB45" s="6"/>
      <c r="AC45" s="1"/>
      <c r="AD45" s="1"/>
      <c r="AE45" s="1"/>
      <c r="AF45" s="1"/>
      <c r="AG45" s="1"/>
      <c r="AH45" s="1"/>
      <c r="AI45" s="1"/>
      <c r="AJ45" s="1"/>
      <c r="AK45" s="1"/>
      <c r="AL45" s="1"/>
      <c r="AM45" s="1"/>
      <c r="AN45" s="1"/>
      <c r="AO45" s="1"/>
      <c r="AP45" s="1"/>
      <c r="AQ45" s="1"/>
      <c r="AR45" s="1"/>
      <c r="AS45" s="1"/>
    </row>
    <row r="46" spans="1:45">
      <c r="A46" s="1"/>
      <c r="B46" s="1"/>
      <c r="C46" s="1"/>
      <c r="D46" s="3" t="s">
        <v>44</v>
      </c>
      <c r="E46" s="3"/>
      <c r="F46" s="3" t="s">
        <v>39</v>
      </c>
      <c r="G46" s="3"/>
      <c r="H46" s="7"/>
      <c r="I46" s="7"/>
      <c r="J46" s="7"/>
      <c r="K46" s="7">
        <f t="shared" ref="K46:V46" si="11">K44*K45</f>
        <v>0</v>
      </c>
      <c r="L46" s="7">
        <f t="shared" si="11"/>
        <v>0</v>
      </c>
      <c r="M46" s="7">
        <f t="shared" si="11"/>
        <v>0</v>
      </c>
      <c r="N46" s="7">
        <f t="shared" si="11"/>
        <v>0</v>
      </c>
      <c r="O46" s="7">
        <f t="shared" si="11"/>
        <v>0</v>
      </c>
      <c r="P46" s="7">
        <f t="shared" si="11"/>
        <v>0</v>
      </c>
      <c r="Q46" s="7">
        <f t="shared" si="11"/>
        <v>0</v>
      </c>
      <c r="R46" s="7">
        <f t="shared" si="11"/>
        <v>0</v>
      </c>
      <c r="S46" s="7">
        <f t="shared" si="11"/>
        <v>0</v>
      </c>
      <c r="T46" s="7">
        <f t="shared" si="11"/>
        <v>0</v>
      </c>
      <c r="U46" s="7">
        <f t="shared" si="11"/>
        <v>0</v>
      </c>
      <c r="V46" s="7">
        <f t="shared" si="11"/>
        <v>0</v>
      </c>
      <c r="W46" s="7"/>
      <c r="X46" s="7"/>
      <c r="Y46" s="7"/>
      <c r="Z46" s="6"/>
      <c r="AA46" s="6"/>
      <c r="AB46" s="6"/>
      <c r="AC46" s="1"/>
      <c r="AD46" s="1"/>
      <c r="AE46" s="1"/>
      <c r="AF46" s="1"/>
      <c r="AG46" s="1"/>
      <c r="AH46" s="1"/>
      <c r="AI46" s="1"/>
      <c r="AJ46" s="1"/>
      <c r="AK46" s="1"/>
      <c r="AL46" s="1"/>
      <c r="AM46" s="1"/>
      <c r="AN46" s="1"/>
      <c r="AO46" s="1"/>
      <c r="AP46" s="1"/>
      <c r="AQ46" s="1"/>
      <c r="AR46" s="1"/>
      <c r="AS46" s="1"/>
    </row>
    <row r="47" spans="1:45">
      <c r="A47" s="1"/>
      <c r="B47" s="1"/>
      <c r="C47" s="1"/>
      <c r="D47" s="3"/>
      <c r="E47" s="3"/>
      <c r="F47" s="11"/>
      <c r="G47" s="3"/>
      <c r="H47" s="7"/>
      <c r="I47" s="7"/>
      <c r="J47" s="7"/>
      <c r="K47" s="7"/>
      <c r="L47" s="7"/>
      <c r="M47" s="7"/>
      <c r="N47" s="7"/>
      <c r="O47" s="7"/>
      <c r="P47" s="7"/>
      <c r="Q47" s="7"/>
      <c r="R47" s="7"/>
      <c r="S47" s="7"/>
      <c r="T47" s="7"/>
      <c r="U47" s="7"/>
      <c r="V47" s="7"/>
      <c r="W47" s="7"/>
      <c r="X47" s="7"/>
      <c r="Y47" s="7"/>
      <c r="Z47" s="6"/>
      <c r="AA47" s="6"/>
      <c r="AB47" s="6"/>
      <c r="AC47" s="1"/>
      <c r="AD47" s="1"/>
      <c r="AE47" s="1"/>
      <c r="AF47" s="1"/>
      <c r="AG47" s="1"/>
      <c r="AH47" s="1"/>
      <c r="AI47" s="1"/>
      <c r="AJ47" s="1"/>
      <c r="AK47" s="1"/>
      <c r="AL47" s="1"/>
      <c r="AM47" s="1"/>
      <c r="AN47" s="1"/>
      <c r="AO47" s="1"/>
      <c r="AP47" s="1"/>
      <c r="AQ47" s="1"/>
      <c r="AR47" s="1"/>
      <c r="AS47" s="1"/>
    </row>
    <row r="48" spans="1:45">
      <c r="A48" s="1"/>
      <c r="B48" s="1"/>
      <c r="C48" s="1"/>
      <c r="D48" s="3" t="s">
        <v>45</v>
      </c>
      <c r="E48" s="3"/>
      <c r="F48" s="11"/>
      <c r="G48" s="3"/>
      <c r="H48" s="8">
        <v>0.3</v>
      </c>
      <c r="I48" s="8">
        <v>0.3</v>
      </c>
      <c r="J48" s="8">
        <v>0.3</v>
      </c>
      <c r="K48" s="7"/>
      <c r="L48" s="7"/>
      <c r="M48" s="7"/>
      <c r="N48" s="7"/>
      <c r="O48" s="7"/>
      <c r="P48" s="7"/>
      <c r="Q48" s="7"/>
      <c r="R48" s="7"/>
      <c r="S48" s="7"/>
      <c r="T48" s="7"/>
      <c r="U48" s="7"/>
      <c r="V48" s="7"/>
      <c r="W48" s="7"/>
      <c r="X48" s="7"/>
      <c r="Y48" s="7"/>
      <c r="Z48" s="6"/>
      <c r="AA48" s="6"/>
      <c r="AB48" s="6"/>
      <c r="AC48" s="1"/>
      <c r="AD48" s="1" t="s">
        <v>117</v>
      </c>
      <c r="AE48" s="1"/>
      <c r="AF48" s="1"/>
      <c r="AG48" s="1"/>
      <c r="AH48" s="1"/>
      <c r="AI48" s="1"/>
      <c r="AJ48" s="1"/>
      <c r="AK48" s="1"/>
      <c r="AL48" s="1"/>
      <c r="AM48" s="1"/>
      <c r="AN48" s="1"/>
      <c r="AO48" s="1"/>
      <c r="AP48" s="1"/>
      <c r="AQ48" s="1"/>
      <c r="AR48" s="1"/>
      <c r="AS48" s="1"/>
    </row>
    <row r="49" spans="1:45">
      <c r="A49" s="1"/>
      <c r="B49" s="1"/>
      <c r="C49" s="1"/>
      <c r="D49" s="3" t="s">
        <v>46</v>
      </c>
      <c r="E49" s="3"/>
      <c r="F49" s="11" t="s">
        <v>47</v>
      </c>
      <c r="G49" s="3"/>
      <c r="H49" s="7">
        <f>0.13*H26*H48</f>
        <v>1.7854499227600411</v>
      </c>
      <c r="I49" s="7">
        <f>0.13*I26*I48</f>
        <v>1.7854499227600411</v>
      </c>
      <c r="J49" s="7">
        <f>0.13*J26*J48</f>
        <v>1.7854499227600411</v>
      </c>
      <c r="K49" s="7"/>
      <c r="L49" s="7"/>
      <c r="M49" s="7"/>
      <c r="N49" s="7"/>
      <c r="O49" s="7"/>
      <c r="P49" s="7"/>
      <c r="Q49" s="7"/>
      <c r="R49" s="7"/>
      <c r="S49" s="7"/>
      <c r="T49" s="7"/>
      <c r="U49" s="7"/>
      <c r="V49" s="7"/>
      <c r="W49" s="7"/>
      <c r="X49" s="7"/>
      <c r="Y49" s="7"/>
      <c r="Z49" s="6"/>
      <c r="AA49" s="6"/>
      <c r="AB49" s="6"/>
      <c r="AC49" s="1"/>
      <c r="AD49" s="1" t="s">
        <v>118</v>
      </c>
      <c r="AE49" s="1"/>
      <c r="AF49" s="1"/>
      <c r="AG49" s="1"/>
      <c r="AH49" s="1"/>
      <c r="AI49" s="1"/>
      <c r="AJ49" s="1"/>
      <c r="AK49" s="1"/>
      <c r="AL49" s="1"/>
      <c r="AM49" s="1"/>
      <c r="AN49" s="1"/>
      <c r="AO49" s="1"/>
      <c r="AP49" s="1"/>
      <c r="AQ49" s="1"/>
      <c r="AR49" s="1"/>
      <c r="AS49" s="1"/>
    </row>
    <row r="50" spans="1:45">
      <c r="A50" s="1"/>
      <c r="B50" s="1"/>
      <c r="C50" s="1"/>
      <c r="D50" s="3" t="s">
        <v>48</v>
      </c>
      <c r="E50" s="3"/>
      <c r="F50" s="11" t="s">
        <v>47</v>
      </c>
      <c r="G50" s="3"/>
      <c r="H50" s="7">
        <f>H49/0.85</f>
        <v>2.1005293208941662</v>
      </c>
      <c r="I50" s="7">
        <f>I49/0.85</f>
        <v>2.1005293208941662</v>
      </c>
      <c r="J50" s="7">
        <f>J49/0.85</f>
        <v>2.1005293208941662</v>
      </c>
      <c r="K50" s="7"/>
      <c r="L50" s="7"/>
      <c r="M50" s="7"/>
      <c r="N50" s="7"/>
      <c r="O50" s="7"/>
      <c r="P50" s="7"/>
      <c r="Q50" s="7"/>
      <c r="R50" s="7"/>
      <c r="S50" s="7"/>
      <c r="T50" s="7"/>
      <c r="U50" s="7"/>
      <c r="V50" s="7"/>
      <c r="W50" s="7"/>
      <c r="X50" s="7"/>
      <c r="Y50" s="7"/>
      <c r="Z50" s="6"/>
      <c r="AA50" s="6"/>
      <c r="AB50" s="6"/>
      <c r="AC50" s="1"/>
      <c r="AD50" s="1" t="s">
        <v>119</v>
      </c>
      <c r="AE50" s="1"/>
      <c r="AF50" s="1"/>
      <c r="AG50" s="1"/>
      <c r="AH50" s="1"/>
      <c r="AI50" s="1"/>
      <c r="AJ50" s="1"/>
      <c r="AK50" s="1"/>
      <c r="AL50" s="1"/>
      <c r="AM50" s="1"/>
      <c r="AN50" s="1"/>
      <c r="AO50" s="1"/>
      <c r="AP50" s="1"/>
      <c r="AQ50" s="1"/>
      <c r="AR50" s="1"/>
      <c r="AS50" s="1"/>
    </row>
    <row r="51" spans="1:45">
      <c r="A51" s="1"/>
      <c r="B51" s="1"/>
      <c r="C51" s="1"/>
      <c r="D51" s="3" t="s">
        <v>49</v>
      </c>
      <c r="E51" s="3"/>
      <c r="F51" s="11" t="s">
        <v>47</v>
      </c>
      <c r="G51" s="3"/>
      <c r="H51" s="9">
        <f>H50</f>
        <v>2.1005293208941662</v>
      </c>
      <c r="I51" s="9">
        <f>I50</f>
        <v>2.1005293208941662</v>
      </c>
      <c r="J51" s="9">
        <f>J50</f>
        <v>2.1005293208941662</v>
      </c>
      <c r="K51" s="7"/>
      <c r="L51" s="7"/>
      <c r="M51" s="7"/>
      <c r="N51" s="7"/>
      <c r="O51" s="7"/>
      <c r="P51" s="7"/>
      <c r="Q51" s="7"/>
      <c r="R51" s="7"/>
      <c r="S51" s="7"/>
      <c r="T51" s="7"/>
      <c r="U51" s="7"/>
      <c r="V51" s="7"/>
      <c r="W51" s="7"/>
      <c r="X51" s="7"/>
      <c r="Y51" s="7"/>
      <c r="Z51" s="6"/>
      <c r="AA51" s="6"/>
      <c r="AB51" s="6"/>
      <c r="AC51" s="1"/>
      <c r="AD51" s="1"/>
      <c r="AE51" s="1"/>
      <c r="AF51" s="1"/>
      <c r="AG51" s="1"/>
      <c r="AH51" s="1"/>
      <c r="AI51" s="1"/>
      <c r="AJ51" s="1"/>
      <c r="AK51" s="1"/>
      <c r="AL51" s="1"/>
      <c r="AM51" s="1"/>
      <c r="AN51" s="1"/>
      <c r="AO51" s="1"/>
      <c r="AP51" s="1"/>
      <c r="AQ51" s="1"/>
      <c r="AR51" s="1"/>
      <c r="AS51" s="1"/>
    </row>
    <row r="52" spans="1:45">
      <c r="A52" s="1"/>
      <c r="B52" s="1"/>
      <c r="C52" s="1"/>
      <c r="D52" s="3" t="s">
        <v>50</v>
      </c>
      <c r="E52" s="3"/>
      <c r="F52" s="11" t="s">
        <v>29</v>
      </c>
      <c r="G52" s="3"/>
      <c r="H52" s="7">
        <f>H51*User_interface!G28</f>
        <v>52.513233022354157</v>
      </c>
      <c r="I52" s="7">
        <f>I51*User_interface!H28</f>
        <v>52.513233022354157</v>
      </c>
      <c r="J52" s="7">
        <f>J51*User_interface!I28</f>
        <v>52.513233022354157</v>
      </c>
      <c r="K52" s="7">
        <f t="shared" ref="K52:V52" si="12">(K43+K46)</f>
        <v>214.28571428571428</v>
      </c>
      <c r="L52" s="7">
        <f t="shared" si="12"/>
        <v>214.28571428571428</v>
      </c>
      <c r="M52" s="7">
        <f t="shared" si="12"/>
        <v>214.28571428571428</v>
      </c>
      <c r="N52" s="7">
        <f t="shared" si="12"/>
        <v>214.28571428571428</v>
      </c>
      <c r="O52" s="7">
        <f t="shared" si="12"/>
        <v>214.28571428571428</v>
      </c>
      <c r="P52" s="7">
        <f t="shared" si="12"/>
        <v>214.28571428571428</v>
      </c>
      <c r="Q52" s="7">
        <f t="shared" si="12"/>
        <v>214.28571428571428</v>
      </c>
      <c r="R52" s="7">
        <f t="shared" si="12"/>
        <v>214.28571428571428</v>
      </c>
      <c r="S52" s="7">
        <f t="shared" si="12"/>
        <v>214.28571428571428</v>
      </c>
      <c r="T52" s="7">
        <f t="shared" si="12"/>
        <v>214.28571428571428</v>
      </c>
      <c r="U52" s="7">
        <f t="shared" si="12"/>
        <v>214.28571428571428</v>
      </c>
      <c r="V52" s="7">
        <f t="shared" si="12"/>
        <v>214.28571428571428</v>
      </c>
      <c r="W52" s="7"/>
      <c r="X52" s="7"/>
      <c r="Y52" s="7"/>
      <c r="Z52" s="6"/>
      <c r="AA52" s="6"/>
      <c r="AB52" s="6"/>
      <c r="AC52" s="1"/>
      <c r="AD52" s="1"/>
      <c r="AE52" s="1"/>
      <c r="AF52" s="1"/>
      <c r="AG52" s="1"/>
      <c r="AH52" s="1"/>
      <c r="AI52" s="1"/>
      <c r="AJ52" s="1"/>
      <c r="AK52" s="1"/>
      <c r="AL52" s="1"/>
      <c r="AM52" s="1"/>
      <c r="AN52" s="1"/>
      <c r="AO52" s="1"/>
      <c r="AP52" s="1"/>
      <c r="AQ52" s="1"/>
      <c r="AR52" s="1"/>
      <c r="AS52" s="1"/>
    </row>
    <row r="53" spans="1:45">
      <c r="A53" s="1"/>
      <c r="B53" s="1"/>
      <c r="C53" s="1"/>
      <c r="D53" s="3"/>
      <c r="E53" s="3"/>
      <c r="F53" s="11"/>
      <c r="G53" s="3"/>
      <c r="H53" s="7"/>
      <c r="I53" s="7"/>
      <c r="J53" s="7"/>
      <c r="K53" s="7"/>
      <c r="L53" s="7"/>
      <c r="M53" s="7"/>
      <c r="N53" s="7"/>
      <c r="O53" s="7"/>
      <c r="P53" s="7"/>
      <c r="Q53" s="7"/>
      <c r="R53" s="7"/>
      <c r="S53" s="7"/>
      <c r="T53" s="7"/>
      <c r="U53" s="7"/>
      <c r="V53" s="7"/>
      <c r="W53" s="7"/>
      <c r="X53" s="7"/>
      <c r="Y53" s="7"/>
      <c r="Z53" s="6"/>
      <c r="AA53" s="6"/>
      <c r="AB53" s="6"/>
      <c r="AC53" s="1"/>
      <c r="AD53" s="1"/>
      <c r="AE53" s="1"/>
      <c r="AF53" s="1"/>
      <c r="AG53" s="1"/>
      <c r="AH53" s="1"/>
      <c r="AI53" s="1"/>
      <c r="AJ53" s="1"/>
      <c r="AK53" s="1"/>
      <c r="AL53" s="1"/>
      <c r="AM53" s="1"/>
      <c r="AN53" s="1"/>
      <c r="AO53" s="1"/>
      <c r="AP53" s="1"/>
      <c r="AQ53" s="1"/>
      <c r="AR53" s="1"/>
      <c r="AS53" s="1"/>
    </row>
    <row r="54" spans="1:45">
      <c r="A54" s="1"/>
      <c r="B54" s="4" t="s">
        <v>84</v>
      </c>
      <c r="C54" s="1"/>
      <c r="D54" s="2"/>
      <c r="E54" s="3"/>
      <c r="F54" s="11" t="s">
        <v>29</v>
      </c>
      <c r="G54" s="3"/>
      <c r="H54" s="7"/>
      <c r="I54" s="7"/>
      <c r="J54" s="7"/>
      <c r="K54" s="7"/>
      <c r="L54" s="7"/>
      <c r="M54" s="7"/>
      <c r="N54" s="24">
        <f>INDEX(User_interface!$O$32:$O$35,MATCH(User_interface!G36,User_interface!$M$32:$M$35,0))</f>
        <v>1074</v>
      </c>
      <c r="O54" s="24">
        <f>INDEX(User_interface!$O$32:$O$35,MATCH(User_interface!H36,User_interface!$M$32:$M$35,0))</f>
        <v>1074</v>
      </c>
      <c r="P54" s="24">
        <f>INDEX(User_interface!$O$32:$O$35,MATCH(User_interface!I36,User_interface!$M$32:$M$35,0))</f>
        <v>388</v>
      </c>
      <c r="Q54" s="7"/>
      <c r="R54" s="7"/>
      <c r="S54" s="7"/>
      <c r="T54" s="24">
        <f>INDEX(User_interface!$O$32:$O$35,MATCH(User_interface!G36,User_interface!$M$32:$M$35,0))</f>
        <v>1074</v>
      </c>
      <c r="U54" s="24">
        <f>INDEX(User_interface!$O$32:$O$35,MATCH(User_interface!H36,User_interface!$M$32:$M$35,0))</f>
        <v>1074</v>
      </c>
      <c r="V54" s="24">
        <f>INDEX(User_interface!$O$32:$O$35,MATCH(User_interface!I36,User_interface!$M$32:$M$35,0))</f>
        <v>388</v>
      </c>
      <c r="W54" s="7"/>
      <c r="X54" s="7"/>
      <c r="Y54" s="7"/>
      <c r="Z54" s="6"/>
      <c r="AA54" s="6"/>
      <c r="AB54" s="6"/>
      <c r="AC54" s="1"/>
      <c r="AD54" s="1"/>
      <c r="AE54" s="1"/>
      <c r="AF54" s="1"/>
      <c r="AG54" s="1"/>
      <c r="AH54" s="1"/>
      <c r="AI54" s="1"/>
      <c r="AJ54" s="1"/>
      <c r="AK54" s="1"/>
      <c r="AL54" s="1"/>
      <c r="AM54" s="1"/>
      <c r="AN54" s="1"/>
      <c r="AO54" s="1"/>
      <c r="AP54" s="1"/>
      <c r="AQ54" s="1"/>
      <c r="AR54" s="1"/>
      <c r="AS54" s="1"/>
    </row>
    <row r="55" spans="1:45">
      <c r="A55" s="1"/>
      <c r="B55" s="1"/>
      <c r="C55" s="1"/>
      <c r="D55" s="3"/>
      <c r="E55" s="3"/>
      <c r="F55" s="11"/>
      <c r="G55" s="3"/>
      <c r="H55" s="7"/>
      <c r="I55" s="7"/>
      <c r="J55" s="7"/>
      <c r="K55" s="7"/>
      <c r="L55" s="7"/>
      <c r="M55" s="7"/>
      <c r="N55" s="7"/>
      <c r="O55" s="7"/>
      <c r="P55" s="7"/>
      <c r="Q55" s="7"/>
      <c r="R55" s="7"/>
      <c r="S55" s="7"/>
      <c r="T55" s="7"/>
      <c r="U55" s="7"/>
      <c r="V55" s="7"/>
      <c r="W55" s="7"/>
      <c r="X55" s="7"/>
      <c r="Y55" s="7"/>
      <c r="Z55" s="6"/>
      <c r="AA55" s="6"/>
      <c r="AB55" s="6"/>
      <c r="AC55" s="1"/>
      <c r="AD55" s="1"/>
      <c r="AE55" s="1"/>
      <c r="AF55" s="1"/>
      <c r="AG55" s="1"/>
      <c r="AH55" s="1"/>
      <c r="AI55" s="1"/>
      <c r="AJ55" s="1"/>
      <c r="AK55" s="1"/>
      <c r="AL55" s="1"/>
      <c r="AM55" s="1"/>
      <c r="AN55" s="1"/>
      <c r="AO55" s="1"/>
      <c r="AP55" s="1"/>
      <c r="AQ55" s="1"/>
      <c r="AR55" s="1"/>
      <c r="AS55" s="1"/>
    </row>
    <row r="56" spans="1:45">
      <c r="A56" s="1"/>
      <c r="B56" s="1"/>
      <c r="C56" s="1"/>
      <c r="D56" s="1"/>
      <c r="E56" s="1"/>
      <c r="F56" s="1"/>
      <c r="G56" s="1"/>
      <c r="H56" s="6"/>
      <c r="I56" s="6"/>
      <c r="J56" s="6"/>
      <c r="K56" s="6"/>
      <c r="L56" s="6"/>
      <c r="M56" s="6"/>
      <c r="N56" s="6"/>
      <c r="O56" s="6"/>
      <c r="P56" s="6"/>
      <c r="Q56" s="6"/>
      <c r="R56" s="6"/>
      <c r="S56" s="6"/>
      <c r="T56" s="6"/>
      <c r="U56" s="6"/>
      <c r="V56" s="6"/>
      <c r="W56" s="6"/>
      <c r="X56" s="6"/>
      <c r="Y56" s="6"/>
      <c r="Z56" s="6"/>
      <c r="AA56" s="6"/>
      <c r="AB56" s="6"/>
      <c r="AC56" s="1"/>
      <c r="AD56" s="1"/>
      <c r="AE56" s="1"/>
      <c r="AF56" s="1"/>
      <c r="AG56" s="1"/>
      <c r="AH56" s="1"/>
      <c r="AI56" s="1"/>
      <c r="AJ56" s="1"/>
      <c r="AK56" s="1"/>
      <c r="AL56" s="1"/>
      <c r="AM56" s="1"/>
      <c r="AN56" s="1"/>
      <c r="AO56" s="1"/>
      <c r="AP56" s="1"/>
      <c r="AQ56" s="1"/>
      <c r="AR56" s="1"/>
      <c r="AS56" s="1"/>
    </row>
    <row r="57" spans="1:45">
      <c r="A57" s="1"/>
      <c r="B57" s="4" t="s">
        <v>53</v>
      </c>
      <c r="C57" s="1"/>
      <c r="D57" s="1" t="s">
        <v>72</v>
      </c>
      <c r="E57" s="1"/>
      <c r="F57" s="1" t="s">
        <v>54</v>
      </c>
      <c r="G57" s="1"/>
      <c r="H57" s="26">
        <f>User_interface!$S$32+H25*User_interface!G37/1000</f>
        <v>8.49</v>
      </c>
      <c r="I57" s="26">
        <f>User_interface!$S$32+I25*User_interface!H37/1000</f>
        <v>8.49</v>
      </c>
      <c r="J57" s="26">
        <f>User_interface!$S$32+J25*User_interface!I37/1000</f>
        <v>8.49</v>
      </c>
      <c r="K57" s="26">
        <f>K25*User_interface!$G37/1000</f>
        <v>0</v>
      </c>
      <c r="L57" s="26">
        <f>L25*User_interface!H37/1000</f>
        <v>0</v>
      </c>
      <c r="M57" s="26">
        <f>M25*User_interface!I37/1000</f>
        <v>0</v>
      </c>
      <c r="N57" s="26"/>
      <c r="O57" s="26"/>
      <c r="P57" s="26"/>
      <c r="Q57" s="26">
        <f>Q25*User_interface!$G37/1000</f>
        <v>0</v>
      </c>
      <c r="R57" s="26">
        <f>R25*User_interface!H37/1000</f>
        <v>0</v>
      </c>
      <c r="S57" s="26">
        <f>S25*User_interface!I37/1000</f>
        <v>0</v>
      </c>
      <c r="T57" s="26"/>
      <c r="U57" s="26"/>
      <c r="V57" s="26"/>
      <c r="W57" s="26">
        <f>3+W25*User_interface!G37/1000</f>
        <v>3</v>
      </c>
      <c r="X57" s="26">
        <f>3+X25*User_interface!H37/1000</f>
        <v>3</v>
      </c>
      <c r="Y57" s="26">
        <f>3+Y25*User_interface!I37/1000</f>
        <v>3</v>
      </c>
      <c r="Z57" s="26">
        <f>H57-Z58+Z25*User_interface!G37/1000</f>
        <v>0.85800000000000054</v>
      </c>
      <c r="AA57" s="26">
        <f>I57-AA58+AA25*User_interface!H37/1000</f>
        <v>0.85800000000000054</v>
      </c>
      <c r="AB57" s="26">
        <f>J57-AB58+AB25*User_interface!I37/1000</f>
        <v>0.85800000000000054</v>
      </c>
      <c r="AC57" s="1"/>
      <c r="AD57" s="1"/>
      <c r="AE57" s="1"/>
      <c r="AF57" s="1"/>
      <c r="AG57" s="1"/>
      <c r="AH57" s="1"/>
      <c r="AI57" s="1"/>
      <c r="AJ57" s="1"/>
      <c r="AK57" s="1"/>
      <c r="AL57" s="1"/>
      <c r="AM57" s="1"/>
      <c r="AN57" s="1"/>
      <c r="AO57" s="1"/>
      <c r="AP57" s="1"/>
      <c r="AQ57" s="1"/>
      <c r="AR57" s="1"/>
      <c r="AS57" s="1"/>
    </row>
    <row r="58" spans="1:45">
      <c r="A58" s="1"/>
      <c r="B58" s="1"/>
      <c r="C58" s="1"/>
      <c r="D58" s="1" t="s">
        <v>71</v>
      </c>
      <c r="E58" s="1"/>
      <c r="F58" s="1" t="s">
        <v>55</v>
      </c>
      <c r="G58" s="1"/>
      <c r="H58" s="6"/>
      <c r="I58" s="6"/>
      <c r="J58" s="6"/>
      <c r="K58" s="6"/>
      <c r="L58" s="6"/>
      <c r="M58" s="6"/>
      <c r="N58" s="6"/>
      <c r="O58" s="6"/>
      <c r="P58" s="6"/>
      <c r="Q58" s="6"/>
      <c r="R58" s="6"/>
      <c r="S58" s="6"/>
      <c r="T58" s="6"/>
      <c r="U58" s="6"/>
      <c r="V58" s="6"/>
      <c r="W58" s="29">
        <f>H57-3</f>
        <v>5.49</v>
      </c>
      <c r="X58" s="29">
        <f>I57-3</f>
        <v>5.49</v>
      </c>
      <c r="Y58" s="29">
        <f>J57-3</f>
        <v>5.49</v>
      </c>
      <c r="Z58" s="29">
        <f>3816/500</f>
        <v>7.6319999999999997</v>
      </c>
      <c r="AA58" s="29">
        <f>3816/500</f>
        <v>7.6319999999999997</v>
      </c>
      <c r="AB58" s="29">
        <f>3816/500</f>
        <v>7.6319999999999997</v>
      </c>
      <c r="AC58" s="1"/>
      <c r="AD58" s="1"/>
      <c r="AE58" s="1"/>
      <c r="AF58" s="1"/>
      <c r="AG58" s="1"/>
      <c r="AH58" s="1"/>
      <c r="AI58" s="1"/>
      <c r="AJ58" s="1"/>
      <c r="AK58" s="1"/>
      <c r="AL58" s="1"/>
      <c r="AM58" s="1"/>
      <c r="AN58" s="1"/>
      <c r="AO58" s="1"/>
      <c r="AP58" s="1"/>
      <c r="AQ58" s="1"/>
      <c r="AR58" s="1"/>
      <c r="AS58" s="1"/>
    </row>
    <row r="59" spans="1:45">
      <c r="A59" s="1"/>
      <c r="B59" s="1"/>
      <c r="C59" s="1"/>
      <c r="D59" s="1" t="s">
        <v>83</v>
      </c>
      <c r="E59" s="1"/>
      <c r="F59" s="1" t="s">
        <v>56</v>
      </c>
      <c r="G59" s="1"/>
      <c r="H59" s="6"/>
      <c r="I59" s="6"/>
      <c r="J59" s="6"/>
      <c r="K59" s="6"/>
      <c r="L59" s="6"/>
      <c r="M59" s="6"/>
      <c r="N59" s="6"/>
      <c r="O59" s="6"/>
      <c r="P59" s="6"/>
      <c r="Q59" s="6"/>
      <c r="R59" s="6"/>
      <c r="S59" s="6"/>
      <c r="T59" s="6"/>
      <c r="U59" s="6"/>
      <c r="V59" s="6"/>
      <c r="W59" s="25">
        <v>30</v>
      </c>
      <c r="X59" s="25">
        <v>25</v>
      </c>
      <c r="Y59" s="25">
        <v>25</v>
      </c>
      <c r="Z59" s="25">
        <v>30</v>
      </c>
      <c r="AA59" s="25">
        <v>25</v>
      </c>
      <c r="AB59" s="25">
        <v>25</v>
      </c>
      <c r="AC59" s="1"/>
      <c r="AD59" s="1" t="s">
        <v>120</v>
      </c>
      <c r="AE59" s="1"/>
      <c r="AF59" s="1"/>
      <c r="AG59" s="1"/>
      <c r="AH59" s="1"/>
      <c r="AI59" s="1"/>
      <c r="AJ59" s="1"/>
      <c r="AK59" s="1"/>
      <c r="AL59" s="1"/>
      <c r="AM59" s="1"/>
      <c r="AN59" s="1"/>
      <c r="AO59" s="1"/>
      <c r="AP59" s="1"/>
      <c r="AQ59" s="1"/>
      <c r="AR59" s="1"/>
      <c r="AS59" s="1"/>
    </row>
    <row r="60" spans="1:45">
      <c r="A60" s="1"/>
      <c r="B60" s="1"/>
      <c r="C60" s="1"/>
      <c r="D60" s="1"/>
      <c r="E60" s="1"/>
      <c r="F60" s="1"/>
      <c r="G60" s="1"/>
      <c r="H60" s="25"/>
      <c r="I60" s="25"/>
      <c r="J60" s="25"/>
      <c r="K60" s="6"/>
      <c r="L60" s="6"/>
      <c r="M60" s="6"/>
      <c r="N60" s="6"/>
      <c r="O60" s="6"/>
      <c r="P60" s="6"/>
      <c r="Q60" s="6"/>
      <c r="R60" s="6"/>
      <c r="S60" s="6"/>
      <c r="T60" s="6"/>
      <c r="U60" s="6"/>
      <c r="V60" s="6"/>
      <c r="W60" s="25"/>
      <c r="X60" s="25"/>
      <c r="Y60" s="25"/>
      <c r="Z60" s="25"/>
      <c r="AA60" s="25"/>
      <c r="AB60" s="25"/>
      <c r="AC60" s="1"/>
      <c r="AD60" s="1"/>
      <c r="AE60" s="1"/>
      <c r="AF60" s="1"/>
      <c r="AG60" s="1"/>
      <c r="AH60" s="1"/>
      <c r="AI60" s="1"/>
      <c r="AJ60" s="1"/>
      <c r="AK60" s="1"/>
      <c r="AL60" s="1"/>
      <c r="AM60" s="1"/>
      <c r="AN60" s="1"/>
      <c r="AO60" s="1"/>
      <c r="AP60" s="1"/>
      <c r="AQ60" s="1"/>
      <c r="AR60" s="1"/>
      <c r="AS60" s="1"/>
    </row>
    <row r="61" spans="1:45">
      <c r="A61" s="1"/>
      <c r="B61" s="1"/>
      <c r="C61" s="1"/>
      <c r="D61" s="1" t="s">
        <v>102</v>
      </c>
      <c r="E61" s="1"/>
      <c r="F61" s="1" t="s">
        <v>56</v>
      </c>
      <c r="G61" s="1"/>
      <c r="H61" s="25">
        <f>User_interface!$G33</f>
        <v>25</v>
      </c>
      <c r="I61" s="25">
        <f>User_interface!$H33</f>
        <v>35</v>
      </c>
      <c r="J61" s="25">
        <f>User_interface!$I33</f>
        <v>50</v>
      </c>
      <c r="K61" s="25">
        <f>User_interface!$G33</f>
        <v>25</v>
      </c>
      <c r="L61" s="25">
        <f>User_interface!$H33</f>
        <v>35</v>
      </c>
      <c r="M61" s="25">
        <f>User_interface!$I33</f>
        <v>50</v>
      </c>
      <c r="N61" s="25">
        <f>User_interface!$G33</f>
        <v>25</v>
      </c>
      <c r="O61" s="25">
        <f>User_interface!$H33</f>
        <v>35</v>
      </c>
      <c r="P61" s="25">
        <f>User_interface!$I33</f>
        <v>50</v>
      </c>
      <c r="Q61" s="25">
        <f>User_interface!$G33</f>
        <v>25</v>
      </c>
      <c r="R61" s="25">
        <f>User_interface!$H33</f>
        <v>35</v>
      </c>
      <c r="S61" s="25">
        <f>User_interface!$I33</f>
        <v>50</v>
      </c>
      <c r="T61" s="25">
        <f>User_interface!$G33</f>
        <v>25</v>
      </c>
      <c r="U61" s="25">
        <f>User_interface!$H33</f>
        <v>35</v>
      </c>
      <c r="V61" s="25">
        <f>User_interface!$I33</f>
        <v>50</v>
      </c>
      <c r="W61" s="25">
        <f>User_interface!$G33</f>
        <v>25</v>
      </c>
      <c r="X61" s="25">
        <f>User_interface!$H33</f>
        <v>35</v>
      </c>
      <c r="Y61" s="25">
        <f>User_interface!$I33</f>
        <v>50</v>
      </c>
      <c r="Z61" s="25">
        <f>User_interface!$G33</f>
        <v>25</v>
      </c>
      <c r="AA61" s="25">
        <f>User_interface!$H33</f>
        <v>35</v>
      </c>
      <c r="AB61" s="25">
        <f>User_interface!$I33</f>
        <v>50</v>
      </c>
      <c r="AC61" s="1"/>
      <c r="AD61" s="1"/>
      <c r="AE61" s="1"/>
      <c r="AF61" s="1"/>
      <c r="AG61" s="1"/>
      <c r="AH61" s="1"/>
      <c r="AI61" s="1"/>
      <c r="AJ61" s="1"/>
      <c r="AK61" s="1"/>
      <c r="AL61" s="1"/>
      <c r="AM61" s="1"/>
      <c r="AN61" s="1"/>
      <c r="AO61" s="1"/>
      <c r="AP61" s="1"/>
      <c r="AQ61" s="1"/>
      <c r="AR61" s="1"/>
      <c r="AS61" s="1"/>
    </row>
    <row r="62" spans="1:45">
      <c r="A62" s="1"/>
      <c r="B62" s="1"/>
      <c r="C62" s="1"/>
      <c r="D62" s="1"/>
      <c r="E62" s="1"/>
      <c r="F62" s="1"/>
      <c r="G62" s="1"/>
      <c r="H62" s="25"/>
      <c r="I62" s="25"/>
      <c r="J62" s="25"/>
      <c r="K62" s="25"/>
      <c r="L62" s="25"/>
      <c r="M62" s="25"/>
      <c r="N62" s="25"/>
      <c r="O62" s="25"/>
      <c r="P62" s="25"/>
      <c r="Q62" s="25"/>
      <c r="R62" s="25"/>
      <c r="S62" s="25"/>
      <c r="T62" s="25"/>
      <c r="U62" s="25"/>
      <c r="V62" s="25"/>
      <c r="W62" s="25"/>
      <c r="X62" s="25"/>
      <c r="Y62" s="25"/>
      <c r="Z62" s="25"/>
      <c r="AA62" s="25"/>
      <c r="AB62" s="25"/>
      <c r="AC62" s="1"/>
      <c r="AD62" s="1"/>
      <c r="AE62" s="1"/>
      <c r="AF62" s="1"/>
      <c r="AG62" s="1"/>
      <c r="AH62" s="1"/>
      <c r="AI62" s="1"/>
      <c r="AJ62" s="1"/>
      <c r="AK62" s="1"/>
      <c r="AL62" s="1"/>
      <c r="AM62" s="1"/>
      <c r="AN62" s="1"/>
      <c r="AO62" s="1"/>
      <c r="AP62" s="1"/>
      <c r="AQ62" s="1"/>
      <c r="AR62" s="1"/>
      <c r="AS62" s="1"/>
    </row>
    <row r="63" spans="1:45">
      <c r="A63" s="1"/>
      <c r="B63" s="1"/>
      <c r="C63" s="1"/>
      <c r="D63" s="1" t="s">
        <v>103</v>
      </c>
      <c r="E63" s="1"/>
      <c r="F63" s="1" t="s">
        <v>29</v>
      </c>
      <c r="G63" s="1"/>
      <c r="H63" s="25">
        <f t="shared" ref="H63:AB63" si="13">H61*H57+H58*H59</f>
        <v>212.25</v>
      </c>
      <c r="I63" s="25">
        <f t="shared" si="13"/>
        <v>297.15000000000003</v>
      </c>
      <c r="J63" s="25">
        <f t="shared" si="13"/>
        <v>424.5</v>
      </c>
      <c r="K63" s="25">
        <f t="shared" si="13"/>
        <v>0</v>
      </c>
      <c r="L63" s="25">
        <f t="shared" si="13"/>
        <v>0</v>
      </c>
      <c r="M63" s="25">
        <f t="shared" si="13"/>
        <v>0</v>
      </c>
      <c r="N63" s="25">
        <f t="shared" si="13"/>
        <v>0</v>
      </c>
      <c r="O63" s="25">
        <f t="shared" si="13"/>
        <v>0</v>
      </c>
      <c r="P63" s="25">
        <f t="shared" si="13"/>
        <v>0</v>
      </c>
      <c r="Q63" s="25">
        <f t="shared" si="13"/>
        <v>0</v>
      </c>
      <c r="R63" s="25">
        <f t="shared" si="13"/>
        <v>0</v>
      </c>
      <c r="S63" s="25">
        <f t="shared" si="13"/>
        <v>0</v>
      </c>
      <c r="T63" s="25">
        <f t="shared" si="13"/>
        <v>0</v>
      </c>
      <c r="U63" s="25">
        <f t="shared" si="13"/>
        <v>0</v>
      </c>
      <c r="V63" s="25">
        <f t="shared" si="13"/>
        <v>0</v>
      </c>
      <c r="W63" s="25">
        <f t="shared" si="13"/>
        <v>239.70000000000002</v>
      </c>
      <c r="X63" s="25">
        <f t="shared" si="13"/>
        <v>242.25</v>
      </c>
      <c r="Y63" s="25">
        <f t="shared" si="13"/>
        <v>287.25</v>
      </c>
      <c r="Z63" s="25">
        <f t="shared" si="13"/>
        <v>250.41</v>
      </c>
      <c r="AA63" s="25">
        <f t="shared" si="13"/>
        <v>220.83</v>
      </c>
      <c r="AB63" s="25">
        <f t="shared" si="13"/>
        <v>233.70000000000002</v>
      </c>
      <c r="AC63" s="1"/>
      <c r="AD63" s="1"/>
      <c r="AE63" s="1"/>
      <c r="AF63" s="1"/>
      <c r="AG63" s="1"/>
      <c r="AH63" s="1"/>
      <c r="AI63" s="1"/>
      <c r="AJ63" s="1"/>
      <c r="AK63" s="1"/>
      <c r="AL63" s="1"/>
      <c r="AM63" s="1"/>
      <c r="AN63" s="1"/>
      <c r="AO63" s="1"/>
      <c r="AP63" s="1"/>
      <c r="AQ63" s="1"/>
      <c r="AR63" s="1"/>
      <c r="AS63" s="1"/>
    </row>
    <row r="64" spans="1:45">
      <c r="A64" s="1"/>
      <c r="B64" s="1"/>
      <c r="C64" s="1"/>
      <c r="D64" s="1"/>
      <c r="E64" s="1"/>
      <c r="F64" s="1"/>
      <c r="G64" s="1"/>
      <c r="H64" s="6"/>
      <c r="I64" s="6"/>
      <c r="J64" s="6"/>
      <c r="K64" s="6"/>
      <c r="L64" s="6"/>
      <c r="M64" s="6"/>
      <c r="N64" s="6"/>
      <c r="O64" s="6"/>
      <c r="P64" s="6"/>
      <c r="Q64" s="6"/>
      <c r="R64" s="6"/>
      <c r="S64" s="6"/>
      <c r="T64" s="6"/>
      <c r="U64" s="6"/>
      <c r="V64" s="6"/>
      <c r="W64" s="25"/>
      <c r="X64" s="25"/>
      <c r="Y64" s="25"/>
      <c r="Z64" s="25"/>
      <c r="AA64" s="25"/>
      <c r="AB64" s="25"/>
      <c r="AC64" s="1"/>
      <c r="AD64" s="1"/>
      <c r="AE64" s="1"/>
      <c r="AF64" s="1"/>
      <c r="AG64" s="1"/>
      <c r="AH64" s="1"/>
      <c r="AI64" s="1"/>
      <c r="AJ64" s="1"/>
      <c r="AK64" s="1"/>
      <c r="AL64" s="1"/>
      <c r="AM64" s="1"/>
      <c r="AN64" s="1"/>
      <c r="AO64" s="1"/>
      <c r="AP64" s="1"/>
      <c r="AQ64" s="1"/>
      <c r="AR64" s="1"/>
      <c r="AS64" s="1"/>
    </row>
    <row r="65" spans="1:45">
      <c r="A65" s="1"/>
      <c r="B65" s="4" t="s">
        <v>51</v>
      </c>
      <c r="C65" s="1"/>
      <c r="D65" s="1" t="s">
        <v>52</v>
      </c>
      <c r="E65" s="1"/>
      <c r="F65" s="11" t="s">
        <v>29</v>
      </c>
      <c r="G65" s="1"/>
      <c r="H65" s="25">
        <f t="shared" ref="H65:V65" si="14">H39+H28+H63-H52+H54</f>
        <v>1832.0177184606821</v>
      </c>
      <c r="I65" s="25">
        <f t="shared" si="14"/>
        <v>1916.9177184606822</v>
      </c>
      <c r="J65" s="25">
        <f t="shared" si="14"/>
        <v>2044.2677184606819</v>
      </c>
      <c r="K65" s="25">
        <f t="shared" si="14"/>
        <v>2367.7493759488498</v>
      </c>
      <c r="L65" s="25">
        <f t="shared" si="14"/>
        <v>2196.243915851564</v>
      </c>
      <c r="M65" s="25">
        <f t="shared" si="14"/>
        <v>2069.7391636070338</v>
      </c>
      <c r="N65" s="25">
        <f t="shared" si="14"/>
        <v>3189.042327588681</v>
      </c>
      <c r="O65" s="25">
        <f t="shared" si="14"/>
        <v>2914.0676528524691</v>
      </c>
      <c r="P65" s="25">
        <f t="shared" si="14"/>
        <v>1843.2818610600548</v>
      </c>
      <c r="Q65" s="25">
        <f t="shared" si="14"/>
        <v>2222.7806546546071</v>
      </c>
      <c r="R65" s="25">
        <f t="shared" si="14"/>
        <v>2055.8054670977667</v>
      </c>
      <c r="S65" s="25">
        <f t="shared" si="14"/>
        <v>1931.461306372526</v>
      </c>
      <c r="T65" s="25">
        <f t="shared" si="14"/>
        <v>3032.8636669792172</v>
      </c>
      <c r="U65" s="25">
        <f t="shared" si="14"/>
        <v>2762.7695753870516</v>
      </c>
      <c r="V65" s="25">
        <f t="shared" si="14"/>
        <v>1694.3114463248744</v>
      </c>
      <c r="W65" s="25">
        <f>W39-H63+W63+W28+H65</f>
        <v>2334.1650502284847</v>
      </c>
      <c r="X65" s="25">
        <f>X39-I63+X63+X28+I65</f>
        <v>2336.7150502284849</v>
      </c>
      <c r="Y65" s="25">
        <f>Y39-J63+Y63+Y28+J65</f>
        <v>2381.7150502284844</v>
      </c>
      <c r="Z65" s="25">
        <f>Z39+Z28+Z63-Z52</f>
        <v>2331.0255640838436</v>
      </c>
      <c r="AA65" s="25">
        <f>AA39+AA28+AA63-AA52</f>
        <v>2301.4455640838437</v>
      </c>
      <c r="AB65" s="25">
        <f>AB39+AB28+AB63-AB52</f>
        <v>2314.3155640838436</v>
      </c>
      <c r="AC65" s="1"/>
      <c r="AD65" s="1"/>
      <c r="AE65" s="1"/>
      <c r="AF65" s="1"/>
      <c r="AG65" s="1"/>
      <c r="AH65" s="1"/>
      <c r="AI65" s="1"/>
      <c r="AJ65" s="1"/>
      <c r="AK65" s="1"/>
      <c r="AL65" s="1"/>
      <c r="AM65" s="1"/>
      <c r="AN65" s="1"/>
      <c r="AO65" s="1"/>
      <c r="AP65" s="1"/>
      <c r="AQ65" s="1"/>
      <c r="AR65" s="1"/>
      <c r="AS65" s="1"/>
    </row>
    <row r="66" spans="1:45">
      <c r="A66" s="1"/>
      <c r="B66" s="4"/>
      <c r="C66" s="1"/>
      <c r="D66" s="1"/>
      <c r="E66" s="1"/>
      <c r="F66" s="11"/>
      <c r="G66" s="1"/>
      <c r="H66" s="25"/>
      <c r="I66" s="25"/>
      <c r="J66" s="25"/>
      <c r="K66" s="25"/>
      <c r="L66" s="25"/>
      <c r="M66" s="25"/>
      <c r="N66" s="25"/>
      <c r="O66" s="25"/>
      <c r="P66" s="25"/>
      <c r="Q66" s="25"/>
      <c r="R66" s="25"/>
      <c r="S66" s="25"/>
      <c r="T66" s="25"/>
      <c r="U66" s="25"/>
      <c r="V66" s="25"/>
      <c r="W66" s="25"/>
      <c r="X66" s="25"/>
      <c r="Y66" s="25"/>
      <c r="Z66" s="25"/>
      <c r="AA66" s="25"/>
      <c r="AB66" s="25"/>
      <c r="AC66" s="1"/>
      <c r="AD66" s="1"/>
      <c r="AE66" s="1"/>
      <c r="AF66" s="1"/>
      <c r="AG66" s="1"/>
      <c r="AH66" s="1"/>
      <c r="AI66" s="1"/>
      <c r="AJ66" s="1"/>
      <c r="AK66" s="1"/>
      <c r="AL66" s="1"/>
      <c r="AM66" s="1"/>
      <c r="AN66" s="1"/>
      <c r="AO66" s="1"/>
      <c r="AP66" s="1"/>
      <c r="AQ66" s="1"/>
      <c r="AR66" s="1"/>
      <c r="AS66" s="1"/>
    </row>
    <row r="67" spans="1:45">
      <c r="A67" s="1"/>
      <c r="B67" s="1"/>
      <c r="C67" s="1"/>
      <c r="D67" s="1"/>
      <c r="E67" s="1"/>
      <c r="F67" s="1"/>
      <c r="G67" s="1"/>
      <c r="H67" s="6"/>
      <c r="I67" s="6"/>
      <c r="J67" s="6"/>
      <c r="K67" s="6"/>
      <c r="L67" s="6"/>
      <c r="M67" s="6"/>
      <c r="N67" s="6"/>
      <c r="O67" s="6"/>
      <c r="P67" s="6"/>
      <c r="Q67" s="6"/>
      <c r="R67" s="6"/>
      <c r="S67" s="6"/>
      <c r="T67" s="6"/>
      <c r="U67" s="6"/>
      <c r="V67" s="6"/>
      <c r="W67" s="6"/>
      <c r="X67" s="6"/>
      <c r="Y67" s="6"/>
      <c r="Z67" s="6"/>
      <c r="AA67" s="6"/>
      <c r="AB67" s="6"/>
      <c r="AC67" s="1"/>
      <c r="AD67" s="1"/>
      <c r="AE67" s="1"/>
      <c r="AF67" s="1"/>
      <c r="AG67" s="1"/>
      <c r="AH67" s="1"/>
      <c r="AI67" s="1"/>
      <c r="AJ67" s="1"/>
      <c r="AK67" s="1"/>
      <c r="AL67" s="1"/>
      <c r="AM67" s="1"/>
      <c r="AN67" s="1"/>
      <c r="AO67" s="1"/>
      <c r="AP67" s="1"/>
      <c r="AQ67" s="1"/>
      <c r="AR67" s="1"/>
      <c r="AS67" s="1"/>
    </row>
    <row r="68" spans="1:45">
      <c r="A68" s="1"/>
      <c r="B68" s="1"/>
      <c r="C68" s="1"/>
      <c r="D68" s="4" t="s">
        <v>57</v>
      </c>
      <c r="E68" s="1"/>
      <c r="F68" s="1" t="s">
        <v>56</v>
      </c>
      <c r="G68" s="1"/>
      <c r="H68" s="6"/>
      <c r="I68" s="6"/>
      <c r="J68" s="6"/>
      <c r="K68" s="23">
        <f>IF(K57&gt;H57,"NA",(K65-H65)/(H57-K57))</f>
        <v>63.101490870219983</v>
      </c>
      <c r="L68" s="23">
        <f>IF(L57&gt;I57,"NA",(L65-I65)/(I57-L57))</f>
        <v>32.900612177960163</v>
      </c>
      <c r="M68" s="23">
        <f>IF(M57&gt;J57,"NA",(M65-J65)/(J57-M57))</f>
        <v>3.000170217473725</v>
      </c>
      <c r="N68" s="23">
        <f>IF(N57&gt;H57,"NA",(N65-H65)/(H57-N57))</f>
        <v>159.83799871943449</v>
      </c>
      <c r="O68" s="23">
        <f>IF(O57&gt;I57,"NA",(O65-I65)/(I57-O57))</f>
        <v>117.4499333794802</v>
      </c>
      <c r="P68" s="23">
        <f>IF(P57&gt;J57,"NA",(P65-J65)/(J57-P57))</f>
        <v>-23.673245865798243</v>
      </c>
      <c r="Q68" s="23">
        <f>IF(Q57&gt;H57,"NA",(Q65-H65)/(H57-Q57))</f>
        <v>46.026258680085398</v>
      </c>
      <c r="R68" s="23">
        <f>IF(R57&gt;I57,"NA",(R65-I65)/(I57-R57))</f>
        <v>16.358980993767318</v>
      </c>
      <c r="S68" s="23">
        <f>IF(S57&gt;J57,"NA",(S65-J65)/(J57-S57))</f>
        <v>-13.28697433311612</v>
      </c>
      <c r="T68" s="23">
        <f>IF(T57&gt;H57,"NA",(T65-H65)/(H57-T57))</f>
        <v>141.44239676307834</v>
      </c>
      <c r="U68" s="23">
        <f>IF(U57&gt;I57,"NA",(U65-I65)/(I57-U57))</f>
        <v>99.62919398426024</v>
      </c>
      <c r="V68" s="23">
        <f>IF(V57&gt;J57,"NA",(V65-J65)/(J57-V57))</f>
        <v>-41.219820039553291</v>
      </c>
      <c r="W68" s="23">
        <f>(W65-H65)/(H57-W57)</f>
        <v>91.465816351148007</v>
      </c>
      <c r="X68" s="23">
        <f>(X65-I65)/(I57-X57)</f>
        <v>76.465816351148021</v>
      </c>
      <c r="Y68" s="23">
        <f>(Y65-J65)/(J57-Y57)</f>
        <v>61.465816351148007</v>
      </c>
      <c r="Z68" s="23">
        <f>(Z65-H65)/(H57-Z57)</f>
        <v>65.383627571168972</v>
      </c>
      <c r="AA68" s="23">
        <f>(AA65-I65)/(I57-AA57)</f>
        <v>50.383627571168965</v>
      </c>
      <c r="AB68" s="23">
        <f>(AB65-J65)/(J57-AB57)</f>
        <v>35.383627571168986</v>
      </c>
      <c r="AC68" s="1"/>
      <c r="AD68" s="1"/>
      <c r="AE68" s="1"/>
      <c r="AF68" s="1"/>
      <c r="AG68" s="1"/>
      <c r="AH68" s="1"/>
      <c r="AI68" s="1"/>
      <c r="AJ68" s="1"/>
      <c r="AK68" s="1"/>
      <c r="AL68" s="1"/>
      <c r="AM68" s="1"/>
      <c r="AN68" s="1"/>
      <c r="AO68" s="1"/>
      <c r="AP68" s="1"/>
      <c r="AQ68" s="1"/>
      <c r="AR68" s="1"/>
      <c r="AS68" s="1"/>
    </row>
    <row r="69" spans="1:45">
      <c r="A69" s="1"/>
      <c r="B69" s="1"/>
      <c r="C69" s="1"/>
      <c r="D69" s="1"/>
      <c r="E69" s="1"/>
      <c r="F69" s="1"/>
      <c r="G69" s="1"/>
      <c r="H69" s="6"/>
      <c r="I69" s="6"/>
      <c r="J69" s="6"/>
      <c r="K69" s="6"/>
      <c r="L69" s="6"/>
      <c r="M69" s="6"/>
      <c r="N69" s="6"/>
      <c r="O69" s="6"/>
      <c r="P69" s="6"/>
      <c r="Q69" s="6"/>
      <c r="R69" s="6"/>
      <c r="S69" s="6"/>
      <c r="T69" s="6"/>
      <c r="U69" s="6"/>
      <c r="V69" s="6"/>
      <c r="W69" s="6"/>
      <c r="X69" s="6"/>
      <c r="Y69" s="6"/>
      <c r="Z69" s="6"/>
      <c r="AA69" s="6"/>
      <c r="AB69" s="6"/>
      <c r="AC69" s="1"/>
      <c r="AD69" s="1"/>
      <c r="AE69" s="1"/>
      <c r="AF69" s="1"/>
      <c r="AG69" s="1"/>
      <c r="AH69" s="1"/>
      <c r="AI69" s="1"/>
      <c r="AJ69" s="1"/>
      <c r="AK69" s="1"/>
      <c r="AL69" s="1"/>
      <c r="AM69" s="1"/>
      <c r="AN69" s="1"/>
      <c r="AO69" s="1"/>
      <c r="AP69" s="1"/>
      <c r="AQ69" s="1"/>
      <c r="AR69" s="1"/>
      <c r="AS69" s="1"/>
    </row>
    <row r="70" spans="1:45">
      <c r="A70" s="1"/>
      <c r="B70" s="1"/>
      <c r="C70" s="1"/>
      <c r="D70" s="12" t="s">
        <v>58</v>
      </c>
      <c r="E70" s="12"/>
      <c r="F70" s="1"/>
      <c r="G70" s="1"/>
      <c r="H70" s="6"/>
      <c r="I70" s="6"/>
      <c r="J70" s="6"/>
      <c r="K70" s="6"/>
      <c r="L70" s="6"/>
      <c r="M70" s="6"/>
      <c r="N70" s="6"/>
      <c r="O70" s="6"/>
      <c r="P70" s="6"/>
      <c r="Q70" s="6"/>
      <c r="R70" s="6"/>
      <c r="S70" s="6"/>
      <c r="T70" s="6"/>
      <c r="U70" s="6"/>
      <c r="V70" s="6"/>
      <c r="W70" s="6"/>
      <c r="X70" s="6"/>
      <c r="Y70" s="6"/>
      <c r="Z70" s="6"/>
      <c r="AA70" s="6"/>
      <c r="AB70" s="6"/>
      <c r="AC70" s="1"/>
      <c r="AD70" s="1"/>
      <c r="AE70" s="1"/>
      <c r="AF70" s="1"/>
      <c r="AG70" s="1"/>
      <c r="AH70" s="1"/>
      <c r="AI70" s="1"/>
      <c r="AJ70" s="1"/>
      <c r="AK70" s="1"/>
      <c r="AL70" s="1"/>
      <c r="AM70" s="1"/>
      <c r="AN70" s="1"/>
      <c r="AO70" s="1"/>
      <c r="AP70" s="1"/>
      <c r="AQ70" s="1"/>
      <c r="AR70" s="1"/>
      <c r="AS70" s="1"/>
    </row>
    <row r="71" spans="1:45">
      <c r="A71" s="1"/>
      <c r="B71" s="1"/>
      <c r="C71" s="1"/>
      <c r="D71" s="12"/>
      <c r="E71" s="12"/>
      <c r="F71" s="1"/>
      <c r="G71" s="1"/>
      <c r="H71" s="6"/>
      <c r="I71" s="6"/>
      <c r="J71" s="6"/>
      <c r="K71" s="6"/>
      <c r="L71" s="6"/>
      <c r="M71" s="6"/>
      <c r="N71" s="6"/>
      <c r="O71" s="6"/>
      <c r="P71" s="6"/>
      <c r="Q71" s="6"/>
      <c r="R71" s="6"/>
      <c r="S71" s="6"/>
      <c r="T71" s="6"/>
      <c r="U71" s="6"/>
      <c r="V71" s="6"/>
      <c r="W71" s="6"/>
      <c r="X71" s="6"/>
      <c r="Y71" s="6"/>
      <c r="Z71" s="6"/>
      <c r="AA71" s="6"/>
      <c r="AB71" s="6"/>
      <c r="AC71" s="1"/>
      <c r="AD71" s="1"/>
      <c r="AE71" s="1"/>
      <c r="AF71" s="1"/>
      <c r="AG71" s="1"/>
      <c r="AH71" s="1"/>
      <c r="AI71" s="1"/>
      <c r="AJ71" s="1"/>
      <c r="AK71" s="1"/>
      <c r="AL71" s="1"/>
      <c r="AM71" s="1"/>
      <c r="AN71" s="1"/>
      <c r="AO71" s="1"/>
      <c r="AP71" s="1"/>
      <c r="AQ71" s="1"/>
      <c r="AR71" s="1"/>
      <c r="AS71" s="1"/>
    </row>
    <row r="72" spans="1:45">
      <c r="A72" s="1"/>
      <c r="B72" s="1"/>
      <c r="C72" s="1"/>
      <c r="D72" s="12"/>
      <c r="E72" s="12"/>
      <c r="F72" s="1"/>
      <c r="G72" s="1"/>
      <c r="H72" s="6"/>
      <c r="I72" s="6"/>
      <c r="J72" s="6"/>
      <c r="K72" s="6"/>
      <c r="L72" s="6"/>
      <c r="M72" s="6"/>
      <c r="N72" s="6"/>
      <c r="O72" s="6"/>
      <c r="P72" s="6"/>
      <c r="Q72" s="6"/>
      <c r="R72" s="6"/>
      <c r="S72" s="6"/>
      <c r="T72" s="6"/>
      <c r="U72" s="6"/>
      <c r="V72" s="6"/>
      <c r="W72" s="6"/>
      <c r="X72" s="6"/>
      <c r="Y72" s="6"/>
      <c r="Z72" s="6"/>
      <c r="AA72" s="6"/>
      <c r="AB72" s="6"/>
      <c r="AC72" s="1"/>
      <c r="AD72" s="1"/>
      <c r="AE72" s="1"/>
      <c r="AF72" s="1"/>
      <c r="AG72" s="1"/>
      <c r="AH72" s="1"/>
      <c r="AI72" s="1"/>
      <c r="AJ72" s="1"/>
      <c r="AK72" s="1"/>
      <c r="AL72" s="1"/>
      <c r="AM72" s="1"/>
      <c r="AN72" s="1"/>
      <c r="AO72" s="1"/>
      <c r="AP72" s="1"/>
      <c r="AQ72" s="1"/>
      <c r="AR72" s="1"/>
      <c r="AS72" s="1"/>
    </row>
    <row r="73" spans="1:45">
      <c r="A73" s="1"/>
      <c r="B73" s="1"/>
      <c r="C73" s="1"/>
      <c r="D73" s="12"/>
      <c r="E73" s="12"/>
      <c r="F73" s="1"/>
      <c r="G73" s="1"/>
      <c r="H73" s="6"/>
      <c r="I73" s="6"/>
      <c r="J73" s="6"/>
      <c r="K73" s="6"/>
      <c r="L73" s="6"/>
      <c r="M73" s="6"/>
      <c r="N73" s="6"/>
      <c r="O73" s="6"/>
      <c r="P73" s="6"/>
      <c r="Q73" s="6"/>
      <c r="R73" s="6"/>
      <c r="S73" s="6"/>
      <c r="T73" s="6"/>
      <c r="U73" s="6"/>
      <c r="V73" s="6"/>
      <c r="W73" s="6"/>
      <c r="X73" s="6"/>
      <c r="Y73" s="6"/>
      <c r="Z73" s="6"/>
      <c r="AA73" s="6"/>
      <c r="AB73" s="6"/>
      <c r="AC73" s="1"/>
      <c r="AD73" s="1"/>
      <c r="AE73" s="1"/>
      <c r="AF73" s="1"/>
      <c r="AG73" s="1"/>
      <c r="AH73" s="1"/>
      <c r="AI73" s="1"/>
      <c r="AJ73" s="1"/>
      <c r="AK73" s="1"/>
      <c r="AL73" s="1"/>
      <c r="AM73" s="1"/>
      <c r="AN73" s="1"/>
      <c r="AO73" s="1"/>
      <c r="AP73" s="1"/>
      <c r="AQ73" s="1"/>
      <c r="AR73" s="1"/>
      <c r="AS73" s="1"/>
    </row>
    <row r="74" spans="1:45">
      <c r="A74" s="1"/>
      <c r="B74" s="1"/>
      <c r="C74" s="1"/>
      <c r="D74" s="12"/>
      <c r="E74" s="12"/>
      <c r="F74" s="1"/>
      <c r="G74" s="1"/>
      <c r="H74" s="6"/>
      <c r="I74" s="6"/>
      <c r="J74" s="6"/>
      <c r="K74" s="6"/>
      <c r="L74" s="6"/>
      <c r="M74" s="6"/>
      <c r="N74" s="6"/>
      <c r="O74" s="6"/>
      <c r="P74" s="6"/>
      <c r="Q74" s="6"/>
      <c r="R74" s="6"/>
      <c r="S74" s="6"/>
      <c r="T74" s="6"/>
      <c r="U74" s="6"/>
      <c r="V74" s="6"/>
      <c r="W74" s="6"/>
      <c r="X74" s="6"/>
      <c r="Y74" s="6"/>
      <c r="Z74" s="6"/>
      <c r="AA74" s="6"/>
      <c r="AB74" s="6"/>
      <c r="AC74" s="1"/>
      <c r="AD74" s="1"/>
      <c r="AE74" s="1"/>
      <c r="AF74" s="1"/>
      <c r="AG74" s="1"/>
      <c r="AH74" s="1"/>
      <c r="AI74" s="1"/>
      <c r="AJ74" s="1"/>
      <c r="AK74" s="1"/>
      <c r="AL74" s="1"/>
      <c r="AM74" s="1"/>
      <c r="AN74" s="1"/>
      <c r="AO74" s="1"/>
      <c r="AP74" s="1"/>
      <c r="AQ74" s="1"/>
      <c r="AR74" s="1"/>
      <c r="AS74" s="1"/>
    </row>
    <row r="75" spans="1:45">
      <c r="A75" s="1"/>
      <c r="B75" s="1"/>
      <c r="C75" s="1"/>
      <c r="D75" s="12"/>
      <c r="E75" s="12"/>
      <c r="F75" s="1"/>
      <c r="G75" s="1"/>
      <c r="H75" s="6"/>
      <c r="I75" s="6"/>
      <c r="J75" s="6"/>
      <c r="K75" s="6"/>
      <c r="L75" s="6"/>
      <c r="M75" s="6"/>
      <c r="N75" s="6"/>
      <c r="O75" s="6"/>
      <c r="P75" s="6"/>
      <c r="Q75" s="6"/>
      <c r="R75" s="6"/>
      <c r="S75" s="6"/>
      <c r="T75" s="6"/>
      <c r="U75" s="6"/>
      <c r="V75" s="6"/>
      <c r="W75" s="6"/>
      <c r="X75" s="6"/>
      <c r="Y75" s="6"/>
      <c r="Z75" s="6"/>
      <c r="AA75" s="6"/>
      <c r="AB75" s="6"/>
      <c r="AC75" s="1"/>
      <c r="AD75" s="1"/>
      <c r="AE75" s="1"/>
      <c r="AF75" s="1"/>
      <c r="AG75" s="1"/>
      <c r="AH75" s="1"/>
      <c r="AI75" s="1"/>
      <c r="AJ75" s="1"/>
      <c r="AK75" s="1"/>
      <c r="AL75" s="1"/>
      <c r="AM75" s="1"/>
      <c r="AN75" s="1"/>
      <c r="AO75" s="1"/>
      <c r="AP75" s="1"/>
      <c r="AQ75" s="1"/>
      <c r="AR75" s="1"/>
      <c r="AS75" s="1"/>
    </row>
    <row r="76" spans="1:45">
      <c r="A76" s="1"/>
      <c r="B76" s="1"/>
      <c r="C76" s="1"/>
      <c r="D76" s="12"/>
      <c r="E76" s="12"/>
      <c r="F76" s="1"/>
      <c r="G76" s="1"/>
      <c r="H76" s="6"/>
      <c r="I76" s="6"/>
      <c r="J76" s="6"/>
      <c r="K76" s="6"/>
      <c r="L76" s="6"/>
      <c r="M76" s="6"/>
      <c r="N76" s="6"/>
      <c r="O76" s="6"/>
      <c r="P76" s="6"/>
      <c r="Q76" s="6"/>
      <c r="R76" s="6"/>
      <c r="S76" s="6"/>
      <c r="T76" s="6"/>
      <c r="U76" s="6"/>
      <c r="V76" s="6"/>
      <c r="W76" s="6"/>
      <c r="X76" s="6"/>
      <c r="Y76" s="6"/>
      <c r="Z76" s="6"/>
      <c r="AA76" s="6"/>
      <c r="AB76" s="6"/>
      <c r="AC76" s="1"/>
      <c r="AD76" s="1"/>
      <c r="AE76" s="1"/>
      <c r="AF76" s="1"/>
      <c r="AG76" s="1"/>
      <c r="AH76" s="1"/>
      <c r="AI76" s="1"/>
      <c r="AJ76" s="1"/>
      <c r="AK76" s="1"/>
      <c r="AL76" s="1"/>
      <c r="AM76" s="1"/>
      <c r="AN76" s="1"/>
      <c r="AO76" s="1"/>
      <c r="AP76" s="1"/>
      <c r="AQ76" s="1"/>
      <c r="AR76" s="1"/>
      <c r="AS76" s="1"/>
    </row>
    <row r="77" spans="1:45">
      <c r="A77" s="1"/>
      <c r="B77" s="1"/>
      <c r="C77" s="1"/>
      <c r="D77" s="12"/>
      <c r="E77" s="12"/>
      <c r="F77" s="1"/>
      <c r="G77" s="1"/>
      <c r="H77" s="6"/>
      <c r="I77" s="6"/>
      <c r="J77" s="6"/>
      <c r="K77" s="6"/>
      <c r="L77" s="6"/>
      <c r="M77" s="6"/>
      <c r="N77" s="6"/>
      <c r="O77" s="6"/>
      <c r="P77" s="6"/>
      <c r="Q77" s="6"/>
      <c r="R77" s="6"/>
      <c r="S77" s="6"/>
      <c r="T77" s="6"/>
      <c r="U77" s="6"/>
      <c r="V77" s="6"/>
      <c r="W77" s="6"/>
      <c r="X77" s="6"/>
      <c r="Y77" s="6"/>
      <c r="Z77" s="6"/>
      <c r="AA77" s="6"/>
      <c r="AB77" s="6"/>
      <c r="AC77" s="1"/>
      <c r="AD77" s="1"/>
      <c r="AE77" s="1"/>
      <c r="AF77" s="1"/>
      <c r="AG77" s="1"/>
      <c r="AH77" s="1"/>
      <c r="AI77" s="1"/>
      <c r="AJ77" s="1"/>
      <c r="AK77" s="1"/>
      <c r="AL77" s="1"/>
      <c r="AM77" s="1"/>
      <c r="AN77" s="1"/>
      <c r="AO77" s="1"/>
      <c r="AP77" s="1"/>
      <c r="AQ77" s="1"/>
      <c r="AR77" s="1"/>
      <c r="AS77" s="1"/>
    </row>
    <row r="78" spans="1:45">
      <c r="A78" s="1"/>
      <c r="B78" s="1"/>
      <c r="C78" s="25"/>
      <c r="D78" s="25"/>
      <c r="E78" s="25"/>
      <c r="F78" s="25"/>
      <c r="G78" s="1"/>
      <c r="H78" s="6"/>
      <c r="I78" s="6"/>
      <c r="J78" s="6"/>
      <c r="K78" s="6"/>
      <c r="L78" s="6"/>
      <c r="M78" s="6"/>
      <c r="N78" s="6"/>
      <c r="O78" s="6"/>
      <c r="P78" s="6"/>
      <c r="Q78" s="6"/>
      <c r="R78" s="6"/>
      <c r="S78" s="6"/>
      <c r="T78" s="6"/>
      <c r="U78" s="6"/>
      <c r="V78" s="6"/>
      <c r="W78" s="6"/>
      <c r="X78" s="6"/>
      <c r="Y78" s="6"/>
      <c r="Z78" s="6"/>
      <c r="AA78" s="6"/>
      <c r="AB78" s="6"/>
      <c r="AC78" s="1"/>
      <c r="AD78" s="1"/>
      <c r="AE78" s="1"/>
      <c r="AF78" s="1"/>
      <c r="AG78" s="1"/>
      <c r="AH78" s="1"/>
      <c r="AI78" s="1"/>
      <c r="AJ78" s="1"/>
      <c r="AK78" s="1"/>
      <c r="AL78" s="1"/>
      <c r="AM78" s="1"/>
      <c r="AN78" s="1"/>
      <c r="AO78" s="1"/>
      <c r="AP78" s="1"/>
      <c r="AQ78" s="1"/>
      <c r="AR78" s="1"/>
      <c r="AS78" s="1"/>
    </row>
    <row r="79" spans="1:45">
      <c r="A79" s="1"/>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row>
    <row r="80" spans="1:45">
      <c r="A80" s="1"/>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row>
    <row r="81" spans="1:45">
      <c r="A81" s="1"/>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row>
    <row r="82" spans="1:45">
      <c r="A82" s="1"/>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row>
    <row r="83" spans="1:45">
      <c r="A83" s="1"/>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row>
    <row r="84" spans="1:45">
      <c r="A84" s="1"/>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row>
    <row r="85" spans="1:45">
      <c r="A85" s="1"/>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row>
    <row r="86" spans="1:45">
      <c r="A86" s="1"/>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row>
    <row r="87" spans="1:45">
      <c r="A87" s="1"/>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row>
    <row r="88" spans="1:45">
      <c r="A88" s="1"/>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row>
    <row r="89" spans="1:45">
      <c r="A89" s="1"/>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row>
    <row r="90" spans="1:45">
      <c r="A90" s="1"/>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row>
    <row r="91" spans="1:45">
      <c r="A91" s="1"/>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row>
    <row r="92" spans="1:45">
      <c r="A92" s="1"/>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row>
    <row r="93" spans="1:45">
      <c r="A93" s="1"/>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row>
    <row r="94" spans="1:45">
      <c r="A94" s="1"/>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row>
    <row r="95" spans="1:45">
      <c r="A95" s="1"/>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row>
    <row r="96" spans="1:45">
      <c r="A96" s="1"/>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row>
    <row r="97" spans="1:45">
      <c r="A97" s="1"/>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row>
    <row r="98" spans="1:45">
      <c r="A98" s="1"/>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row>
    <row r="99" spans="1:45">
      <c r="A99" s="1"/>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row>
    <row r="100" spans="1:45">
      <c r="A100" s="1"/>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row>
    <row r="101" spans="1:45">
      <c r="A101" s="1"/>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row>
    <row r="102" spans="1:45">
      <c r="A102" s="1"/>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row>
    <row r="103" spans="1:45">
      <c r="A103" s="1"/>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row>
    <row r="104" spans="1:45">
      <c r="A104" s="1"/>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row>
    <row r="105" spans="1:45">
      <c r="A105" s="1"/>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row>
    <row r="106" spans="1:45">
      <c r="A106" s="1"/>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row>
    <row r="107" spans="1:45">
      <c r="A107" s="1"/>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row>
    <row r="108" spans="1:45">
      <c r="A108" s="1"/>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row>
    <row r="109" spans="1:45">
      <c r="A109" s="1"/>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row>
    <row r="110" spans="1:45">
      <c r="A110" s="1"/>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row>
    <row r="111" spans="1:45">
      <c r="A111" s="1"/>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row>
    <row r="112" spans="1:45">
      <c r="A112" s="1"/>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row>
    <row r="113" spans="1:42">
      <c r="A113" s="1"/>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row>
    <row r="114" spans="1:42">
      <c r="A114" s="1"/>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row>
    <row r="115" spans="1:42">
      <c r="A115" s="1"/>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row>
    <row r="116" spans="1:42">
      <c r="A116" s="1"/>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row>
    <row r="117" spans="1:42">
      <c r="A117" s="1"/>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row>
    <row r="118" spans="1:42">
      <c r="A118" s="1"/>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row>
    <row r="119" spans="1:42">
      <c r="A119" s="1"/>
      <c r="B119" s="25"/>
      <c r="C119" s="25" t="s">
        <v>101</v>
      </c>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row>
    <row r="120" spans="1:42">
      <c r="A120" s="1"/>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row>
    <row r="121" spans="1:42">
      <c r="A121" s="1"/>
      <c r="B121" s="25"/>
      <c r="C121" s="25" t="s">
        <v>93</v>
      </c>
      <c r="D121" s="25">
        <v>2025</v>
      </c>
      <c r="E121" s="25">
        <v>2030</v>
      </c>
      <c r="F121" s="25">
        <v>2035</v>
      </c>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row>
    <row r="122" spans="1:42">
      <c r="A122" s="1"/>
      <c r="B122" s="25"/>
      <c r="C122" s="25" t="str">
        <f>H6</f>
        <v>SMR (REF)</v>
      </c>
      <c r="D122" s="25">
        <f t="shared" ref="D122:D128" si="15">INDEX($H$65:$AB$65,MATCH(C122,$H$6:$AB$6,0))</f>
        <v>1832.0177184606821</v>
      </c>
      <c r="E122" s="25">
        <f t="shared" ref="E122:E128" ca="1" si="16">OFFSET(INDEX($H$65:$AB$65,MATCH($C122,$H$6:$AB$6,0)),0,1)</f>
        <v>1916.9177184606822</v>
      </c>
      <c r="F122" s="25">
        <f t="shared" ref="F122:F128" ca="1" si="17">OFFSET(INDEX($H$65:$AB$65,MATCH($C122,$H$6:$AB$6,0)),0,2)</f>
        <v>2044.2677184606819</v>
      </c>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row>
    <row r="123" spans="1:42">
      <c r="A123" s="1"/>
      <c r="B123" s="25"/>
      <c r="C123" s="25" t="str">
        <f>K6</f>
        <v>PEM NL</v>
      </c>
      <c r="D123" s="25">
        <f t="shared" si="15"/>
        <v>2367.7493759488498</v>
      </c>
      <c r="E123" s="25">
        <f t="shared" ca="1" si="16"/>
        <v>2196.243915851564</v>
      </c>
      <c r="F123" s="25">
        <f t="shared" ca="1" si="17"/>
        <v>2069.7391636070338</v>
      </c>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row>
    <row r="124" spans="1:42">
      <c r="A124" s="1"/>
      <c r="B124" s="25"/>
      <c r="C124" s="25" t="str">
        <f>N6</f>
        <v>PEM Portugal</v>
      </c>
      <c r="D124" s="25">
        <f t="shared" si="15"/>
        <v>3189.042327588681</v>
      </c>
      <c r="E124" s="25">
        <f t="shared" ca="1" si="16"/>
        <v>2914.0676528524691</v>
      </c>
      <c r="F124" s="25">
        <f t="shared" ca="1" si="17"/>
        <v>1843.2818610600548</v>
      </c>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row>
    <row r="125" spans="1:42">
      <c r="A125" s="1"/>
      <c r="B125" s="25"/>
      <c r="C125" s="25" t="str">
        <f>Q6</f>
        <v>Alk NL</v>
      </c>
      <c r="D125" s="25">
        <f t="shared" si="15"/>
        <v>2222.7806546546071</v>
      </c>
      <c r="E125" s="25">
        <f t="shared" ca="1" si="16"/>
        <v>2055.8054670977667</v>
      </c>
      <c r="F125" s="25">
        <f t="shared" ca="1" si="17"/>
        <v>1931.461306372526</v>
      </c>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row>
    <row r="126" spans="1:42">
      <c r="A126" s="1"/>
      <c r="B126" s="25"/>
      <c r="C126" s="25" t="str">
        <f>T6</f>
        <v>Alk Portugal</v>
      </c>
      <c r="D126" s="25">
        <f t="shared" si="15"/>
        <v>3032.8636669792172</v>
      </c>
      <c r="E126" s="25">
        <f t="shared" ca="1" si="16"/>
        <v>2762.7695753870516</v>
      </c>
      <c r="F126" s="25">
        <f t="shared" ca="1" si="17"/>
        <v>1694.3114463248744</v>
      </c>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row>
    <row r="127" spans="1:42">
      <c r="A127" s="1"/>
      <c r="B127" s="25"/>
      <c r="C127" s="25" t="str">
        <f>W6</f>
        <v>SMR + CCS</v>
      </c>
      <c r="D127" s="25">
        <f t="shared" si="15"/>
        <v>2334.1650502284847</v>
      </c>
      <c r="E127" s="25">
        <f t="shared" ca="1" si="16"/>
        <v>2336.7150502284849</v>
      </c>
      <c r="F127" s="25">
        <f t="shared" ca="1" si="17"/>
        <v>2381.7150502284844</v>
      </c>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row>
    <row r="128" spans="1:42">
      <c r="A128" s="1"/>
      <c r="B128" s="25"/>
      <c r="C128" s="25" t="str">
        <f>Z6</f>
        <v xml:space="preserve">ATR + CCS </v>
      </c>
      <c r="D128" s="25">
        <f t="shared" si="15"/>
        <v>2331.0255640838436</v>
      </c>
      <c r="E128" s="25">
        <f t="shared" ca="1" si="16"/>
        <v>2301.4455640838437</v>
      </c>
      <c r="F128" s="25">
        <f t="shared" ca="1" si="17"/>
        <v>2314.3155640838436</v>
      </c>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row>
    <row r="129" spans="1:42">
      <c r="A129" s="1"/>
      <c r="B129" s="25"/>
      <c r="C129" s="25" t="s">
        <v>95</v>
      </c>
      <c r="D129" s="25">
        <f>MAX(0,MIN(D123:D128)-D122)</f>
        <v>390.76293619392504</v>
      </c>
      <c r="E129" s="25">
        <f ca="1">MAX(0,MIN(E123:E128)-E122)</f>
        <v>138.88774863708454</v>
      </c>
      <c r="F129" s="25">
        <f ca="1">MAX(0,MIN(F123:F128)-F122)</f>
        <v>0</v>
      </c>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row>
    <row r="130" spans="1:42">
      <c r="A130" s="1"/>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row>
    <row r="131" spans="1:42">
      <c r="A131" s="1"/>
      <c r="B131" s="25"/>
      <c r="C131" s="25" t="s">
        <v>94</v>
      </c>
      <c r="D131" s="25">
        <f>D121</f>
        <v>2025</v>
      </c>
      <c r="E131" s="25">
        <f>E121</f>
        <v>2030</v>
      </c>
      <c r="F131" s="25">
        <f>F121</f>
        <v>2035</v>
      </c>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row>
    <row r="132" spans="1:42">
      <c r="A132" s="1"/>
      <c r="B132" s="25"/>
      <c r="C132" s="25" t="str">
        <f t="shared" ref="C132:C137" si="18">C123</f>
        <v>PEM NL</v>
      </c>
      <c r="D132" s="25">
        <f t="shared" ref="D132:D137" si="19">INDEX($K$68:$AB$68,MATCH(C132,$K$6:$AB$6,0))</f>
        <v>63.101490870219983</v>
      </c>
      <c r="E132" s="25">
        <f t="shared" ref="E132:E137" ca="1" si="20">OFFSET(INDEX($K$68:$AB$68,MATCH($C132,$K$6:$AB$6,0)),0,1)</f>
        <v>32.900612177960163</v>
      </c>
      <c r="F132" s="25">
        <f t="shared" ref="F132:F137" ca="1" si="21">OFFSET(INDEX($K$68:$AB$68,MATCH($C132,$K$6:$AB$6,0)),0,2)</f>
        <v>3.000170217473725</v>
      </c>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row>
    <row r="133" spans="1:42">
      <c r="A133" s="1"/>
      <c r="B133" s="25"/>
      <c r="C133" s="25" t="str">
        <f t="shared" si="18"/>
        <v>PEM Portugal</v>
      </c>
      <c r="D133" s="25">
        <f t="shared" si="19"/>
        <v>159.83799871943449</v>
      </c>
      <c r="E133" s="25">
        <f t="shared" ca="1" si="20"/>
        <v>117.4499333794802</v>
      </c>
      <c r="F133" s="25">
        <f t="shared" ca="1" si="21"/>
        <v>-23.673245865798243</v>
      </c>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row>
    <row r="134" spans="1:42">
      <c r="A134" s="1"/>
      <c r="B134" s="25"/>
      <c r="C134" s="25" t="str">
        <f t="shared" si="18"/>
        <v>Alk NL</v>
      </c>
      <c r="D134" s="25">
        <f t="shared" si="19"/>
        <v>46.026258680085398</v>
      </c>
      <c r="E134" s="25">
        <f t="shared" ca="1" si="20"/>
        <v>16.358980993767318</v>
      </c>
      <c r="F134" s="25">
        <f t="shared" ca="1" si="21"/>
        <v>-13.28697433311612</v>
      </c>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row>
    <row r="135" spans="1:42">
      <c r="A135" s="1"/>
      <c r="B135" s="25"/>
      <c r="C135" s="25" t="str">
        <f t="shared" si="18"/>
        <v>Alk Portugal</v>
      </c>
      <c r="D135" s="25">
        <f t="shared" si="19"/>
        <v>141.44239676307834</v>
      </c>
      <c r="E135" s="25">
        <f t="shared" ca="1" si="20"/>
        <v>99.62919398426024</v>
      </c>
      <c r="F135" s="25">
        <f t="shared" ca="1" si="21"/>
        <v>-41.219820039553291</v>
      </c>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row>
    <row r="136" spans="1:42">
      <c r="A136" s="1"/>
      <c r="B136" s="25"/>
      <c r="C136" s="25" t="str">
        <f t="shared" si="18"/>
        <v>SMR + CCS</v>
      </c>
      <c r="D136" s="25">
        <f t="shared" si="19"/>
        <v>91.465816351148007</v>
      </c>
      <c r="E136" s="25">
        <f t="shared" ca="1" si="20"/>
        <v>76.465816351148021</v>
      </c>
      <c r="F136" s="25">
        <f t="shared" ca="1" si="21"/>
        <v>61.465816351148007</v>
      </c>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row>
    <row r="137" spans="1:42">
      <c r="A137" s="1"/>
      <c r="B137" s="25"/>
      <c r="C137" s="25" t="str">
        <f t="shared" si="18"/>
        <v xml:space="preserve">ATR + CCS </v>
      </c>
      <c r="D137" s="25">
        <f t="shared" si="19"/>
        <v>65.383627571168972</v>
      </c>
      <c r="E137" s="25">
        <f t="shared" ca="1" si="20"/>
        <v>50.383627571168965</v>
      </c>
      <c r="F137" s="25">
        <f t="shared" ca="1" si="21"/>
        <v>35.383627571168986</v>
      </c>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row>
    <row r="138" spans="1:42">
      <c r="A138" s="1"/>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row>
    <row r="139" spans="1:42">
      <c r="A139" s="1"/>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row>
    <row r="140" spans="1:42">
      <c r="A140" s="1"/>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row>
    <row r="141" spans="1:42">
      <c r="A141" s="1"/>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B779C-9E94-FB45-BAAA-04602B68E46E}">
  <dimension ref="A1:AA81"/>
  <sheetViews>
    <sheetView workbookViewId="0"/>
  </sheetViews>
  <sheetFormatPr baseColWidth="10" defaultRowHeight="16"/>
  <cols>
    <col min="4" max="4" width="11.5" customWidth="1"/>
  </cols>
  <sheetData>
    <row r="1" spans="1:27">
      <c r="A1" s="1"/>
      <c r="B1" s="1"/>
      <c r="C1" s="1"/>
      <c r="D1" s="1"/>
      <c r="E1" s="1"/>
      <c r="F1" s="1"/>
      <c r="G1" s="1"/>
      <c r="H1" s="1"/>
      <c r="I1" s="1"/>
      <c r="J1" s="1"/>
      <c r="K1" s="1"/>
      <c r="L1" s="1"/>
      <c r="M1" s="1"/>
      <c r="N1" s="1"/>
      <c r="O1" s="1"/>
      <c r="P1" s="1"/>
      <c r="Q1" s="1"/>
      <c r="R1" s="1"/>
      <c r="S1" s="1"/>
      <c r="T1" s="1"/>
      <c r="U1" s="1"/>
      <c r="V1" s="1"/>
      <c r="W1" s="1"/>
      <c r="X1" s="1"/>
      <c r="Y1" s="1"/>
      <c r="Z1" s="1"/>
      <c r="AA1" s="1"/>
    </row>
    <row r="2" spans="1:27" ht="24">
      <c r="A2" s="1"/>
      <c r="B2" s="1"/>
      <c r="C2" s="37" t="s">
        <v>122</v>
      </c>
      <c r="D2" s="1"/>
      <c r="E2" s="1"/>
      <c r="F2" s="1"/>
      <c r="G2" s="1"/>
      <c r="H2" s="1"/>
      <c r="I2" s="1"/>
      <c r="J2" s="1"/>
      <c r="K2" s="1"/>
      <c r="L2" s="1"/>
      <c r="M2" s="1"/>
      <c r="N2" s="1"/>
      <c r="O2" s="1"/>
      <c r="P2" s="1"/>
      <c r="Q2" s="1"/>
      <c r="R2" s="1"/>
      <c r="S2" s="1"/>
      <c r="T2" s="1"/>
      <c r="U2" s="1"/>
      <c r="V2" s="1"/>
      <c r="W2" s="1"/>
      <c r="X2" s="1"/>
      <c r="Y2" s="1"/>
      <c r="Z2" s="1"/>
      <c r="AA2" s="1"/>
    </row>
    <row r="3" spans="1:27">
      <c r="A3" s="1"/>
      <c r="B3" s="1"/>
      <c r="C3" s="1"/>
      <c r="D3" s="1"/>
      <c r="E3" s="1"/>
      <c r="F3" s="1"/>
      <c r="G3" s="1"/>
      <c r="H3" s="1"/>
      <c r="I3" s="1"/>
      <c r="J3" s="1"/>
      <c r="K3" s="1"/>
      <c r="L3" s="1"/>
      <c r="M3" s="1"/>
      <c r="N3" s="1"/>
      <c r="O3" s="1"/>
      <c r="P3" s="1"/>
      <c r="Q3" s="1"/>
      <c r="R3" s="1"/>
      <c r="S3" s="1"/>
      <c r="T3" s="1"/>
      <c r="U3" s="1"/>
      <c r="V3" s="1"/>
      <c r="W3" s="1"/>
      <c r="X3" s="1"/>
      <c r="Y3" s="1"/>
      <c r="Z3" s="1"/>
      <c r="AA3" s="1"/>
    </row>
    <row r="4" spans="1:27">
      <c r="A4" s="1"/>
      <c r="B4" s="1"/>
      <c r="C4" s="1"/>
      <c r="D4" s="1"/>
      <c r="E4" s="1"/>
      <c r="F4" s="1"/>
      <c r="G4" s="1"/>
      <c r="H4" s="1"/>
      <c r="I4" s="1"/>
      <c r="J4" s="1"/>
      <c r="K4" s="1"/>
      <c r="L4" s="1"/>
      <c r="M4" s="1"/>
      <c r="N4" s="1"/>
      <c r="O4" s="1"/>
      <c r="P4" s="1"/>
      <c r="Q4" s="1"/>
      <c r="R4" s="1"/>
      <c r="S4" s="1"/>
      <c r="T4" s="1"/>
      <c r="U4" s="1"/>
      <c r="V4" s="1"/>
      <c r="W4" s="1"/>
      <c r="X4" s="1"/>
      <c r="Y4" s="1"/>
      <c r="Z4" s="1"/>
      <c r="AA4" s="1"/>
    </row>
    <row r="5" spans="1:27">
      <c r="A5" s="1"/>
      <c r="B5" s="1"/>
      <c r="C5" s="1"/>
      <c r="D5" s="1"/>
      <c r="E5" s="1"/>
      <c r="F5" s="1"/>
      <c r="G5" s="1"/>
      <c r="H5" s="1"/>
      <c r="I5" s="1"/>
      <c r="J5" s="1"/>
      <c r="K5" s="1"/>
      <c r="L5" s="1"/>
      <c r="M5" s="1"/>
      <c r="N5" s="1"/>
      <c r="O5" s="1"/>
      <c r="P5" s="1"/>
      <c r="Q5" s="1"/>
      <c r="R5" s="1"/>
      <c r="S5" s="1"/>
      <c r="T5" s="1"/>
      <c r="U5" s="1"/>
      <c r="V5" s="1"/>
      <c r="W5" s="1"/>
      <c r="X5" s="1"/>
      <c r="Y5" s="1"/>
      <c r="Z5" s="1"/>
      <c r="AA5" s="1"/>
    </row>
    <row r="6" spans="1:27" ht="19">
      <c r="A6" s="1"/>
      <c r="B6" s="1"/>
      <c r="C6" s="33"/>
      <c r="D6" s="1"/>
      <c r="E6" s="1"/>
      <c r="F6" s="1"/>
      <c r="G6" s="1"/>
      <c r="H6" s="1"/>
      <c r="I6" s="1"/>
      <c r="J6" s="1"/>
      <c r="K6" s="1"/>
      <c r="L6" s="1"/>
      <c r="M6" s="1"/>
      <c r="N6" s="1"/>
      <c r="O6" s="1"/>
      <c r="P6" s="1"/>
      <c r="Q6" s="1"/>
      <c r="R6" s="1"/>
      <c r="S6" s="1"/>
      <c r="T6" s="1"/>
      <c r="U6" s="1"/>
      <c r="V6" s="1"/>
      <c r="W6" s="1"/>
      <c r="X6" s="1"/>
      <c r="Y6" s="1"/>
      <c r="Z6" s="1"/>
      <c r="AA6" s="1"/>
    </row>
    <row r="7" spans="1:27">
      <c r="A7" s="1"/>
      <c r="B7" s="1"/>
      <c r="C7" s="4" t="s">
        <v>115</v>
      </c>
      <c r="D7" s="4"/>
      <c r="E7" s="4" t="s">
        <v>140</v>
      </c>
      <c r="F7" s="1"/>
      <c r="G7" s="1"/>
      <c r="H7" s="1"/>
      <c r="I7" s="1"/>
      <c r="J7" s="1"/>
      <c r="K7" s="1"/>
      <c r="L7" s="1"/>
      <c r="M7" s="1"/>
      <c r="N7" s="1"/>
      <c r="O7" s="1"/>
      <c r="P7" s="1"/>
      <c r="Q7" s="1"/>
      <c r="R7" s="1"/>
      <c r="S7" s="1"/>
      <c r="T7" s="1"/>
      <c r="U7" s="1"/>
      <c r="V7" s="1"/>
      <c r="W7" s="1"/>
      <c r="X7" s="1"/>
      <c r="Y7" s="1"/>
      <c r="Z7" s="1"/>
      <c r="AA7" s="1"/>
    </row>
    <row r="8" spans="1:27">
      <c r="A8" s="1"/>
      <c r="B8" s="1"/>
      <c r="C8" s="1"/>
      <c r="D8" s="1"/>
      <c r="E8" s="1"/>
      <c r="F8" s="1"/>
      <c r="G8" s="1"/>
      <c r="H8" s="1"/>
      <c r="I8" s="1"/>
      <c r="J8" s="1"/>
      <c r="K8" s="1"/>
      <c r="L8" s="1"/>
      <c r="M8" s="1"/>
      <c r="N8" s="1"/>
      <c r="O8" s="1"/>
      <c r="P8" s="1"/>
      <c r="Q8" s="1"/>
      <c r="R8" s="1"/>
      <c r="S8" s="1"/>
      <c r="T8" s="1"/>
      <c r="U8" s="1"/>
      <c r="V8" s="1"/>
      <c r="W8" s="1"/>
      <c r="X8" s="1"/>
      <c r="Y8" s="1"/>
      <c r="Z8" s="1"/>
      <c r="AA8" s="1"/>
    </row>
    <row r="9" spans="1:27">
      <c r="A9" s="1"/>
      <c r="B9" s="1"/>
      <c r="C9" s="1"/>
      <c r="D9" s="1"/>
      <c r="E9" s="1"/>
      <c r="F9" s="1"/>
      <c r="G9" s="1"/>
      <c r="H9" s="1"/>
      <c r="I9" s="1"/>
      <c r="J9" s="1"/>
      <c r="K9" s="1"/>
      <c r="L9" s="1"/>
      <c r="M9" s="1"/>
      <c r="N9" s="1"/>
      <c r="O9" s="1"/>
      <c r="P9" s="1"/>
      <c r="Q9" s="1"/>
      <c r="R9" s="1"/>
      <c r="S9" s="1"/>
      <c r="T9" s="1"/>
      <c r="U9" s="1"/>
      <c r="V9" s="1"/>
      <c r="W9" s="1"/>
      <c r="X9" s="1"/>
      <c r="Y9" s="1"/>
      <c r="Z9" s="1"/>
      <c r="AA9" s="1"/>
    </row>
    <row r="10" spans="1:27">
      <c r="A10" s="1"/>
      <c r="B10" s="1"/>
      <c r="C10" s="1" t="s">
        <v>123</v>
      </c>
      <c r="D10" s="1"/>
      <c r="E10" s="1" t="s">
        <v>133</v>
      </c>
      <c r="F10" s="1"/>
      <c r="G10" s="1"/>
      <c r="H10" s="1"/>
      <c r="I10" s="1"/>
      <c r="J10" s="1"/>
      <c r="K10" s="1"/>
      <c r="L10" s="1"/>
      <c r="M10" s="1"/>
      <c r="N10" s="1"/>
      <c r="O10" s="1"/>
      <c r="P10" s="1"/>
      <c r="Q10" s="1"/>
      <c r="R10" s="1"/>
      <c r="S10" s="1"/>
      <c r="T10" s="1"/>
      <c r="U10" s="1"/>
      <c r="V10" s="1"/>
      <c r="W10" s="1"/>
      <c r="X10" s="1"/>
      <c r="Y10" s="1"/>
      <c r="Z10" s="1"/>
      <c r="AA10" s="1"/>
    </row>
    <row r="11" spans="1:27">
      <c r="A11" s="1"/>
      <c r="B11" s="1"/>
      <c r="C11" s="1"/>
      <c r="D11" s="1"/>
      <c r="E11" s="1" t="s">
        <v>124</v>
      </c>
      <c r="F11" s="1"/>
      <c r="G11" s="1"/>
      <c r="H11" s="1"/>
      <c r="I11" s="1"/>
      <c r="J11" s="1"/>
      <c r="K11" s="1"/>
      <c r="L11" s="1"/>
      <c r="M11" s="1"/>
      <c r="N11" s="1"/>
      <c r="O11" s="1"/>
      <c r="P11" s="1"/>
      <c r="Q11" s="1"/>
      <c r="R11" s="1"/>
      <c r="S11" s="1"/>
      <c r="T11" s="1"/>
      <c r="U11" s="1"/>
      <c r="V11" s="1"/>
      <c r="W11" s="1"/>
      <c r="X11" s="1"/>
      <c r="Y11" s="1"/>
      <c r="Z11" s="1"/>
      <c r="AA11" s="1"/>
    </row>
    <row r="12" spans="1:27">
      <c r="A12" s="1"/>
      <c r="B12" s="1"/>
      <c r="C12" s="1" t="s">
        <v>141</v>
      </c>
      <c r="D12" s="1"/>
      <c r="E12" s="1" t="s">
        <v>128</v>
      </c>
      <c r="F12" s="1"/>
      <c r="G12" s="1"/>
      <c r="H12" s="1"/>
      <c r="I12" s="1"/>
      <c r="J12" s="1"/>
      <c r="K12" s="1"/>
      <c r="L12" s="1"/>
      <c r="M12" s="1"/>
      <c r="N12" s="1"/>
      <c r="O12" s="1"/>
      <c r="P12" s="1"/>
      <c r="Q12" s="1"/>
      <c r="R12" s="1"/>
      <c r="S12" s="1"/>
      <c r="T12" s="1"/>
      <c r="U12" s="1"/>
      <c r="V12" s="1"/>
      <c r="W12" s="1"/>
      <c r="X12" s="1"/>
      <c r="Y12" s="1"/>
      <c r="Z12" s="1"/>
      <c r="AA12" s="1"/>
    </row>
    <row r="13" spans="1:27">
      <c r="A13" s="1"/>
      <c r="B13" s="1"/>
      <c r="C13" s="1"/>
      <c r="D13" s="1"/>
      <c r="E13" t="s">
        <v>129</v>
      </c>
      <c r="F13" s="1"/>
      <c r="G13" s="1"/>
      <c r="H13" s="1"/>
      <c r="I13" s="1"/>
      <c r="J13" s="1"/>
      <c r="K13" s="1"/>
      <c r="L13" s="1"/>
      <c r="M13" s="1"/>
      <c r="N13" s="1"/>
      <c r="O13" s="1"/>
      <c r="P13" s="1"/>
      <c r="Q13" s="1"/>
      <c r="R13" s="1"/>
      <c r="S13" s="1"/>
      <c r="T13" s="1"/>
      <c r="U13" s="1"/>
      <c r="V13" s="1"/>
      <c r="W13" s="1"/>
      <c r="X13" s="1"/>
      <c r="Y13" s="1"/>
      <c r="Z13" s="1"/>
      <c r="AA13" s="1"/>
    </row>
    <row r="14" spans="1:27">
      <c r="A14" s="1"/>
      <c r="B14" s="1"/>
      <c r="C14" s="1"/>
      <c r="D14" s="1"/>
      <c r="E14" s="1" t="s">
        <v>130</v>
      </c>
      <c r="F14" s="1"/>
      <c r="G14" s="1"/>
      <c r="H14" s="1"/>
      <c r="I14" s="1"/>
      <c r="J14" s="1"/>
      <c r="K14" s="1"/>
      <c r="L14" s="1"/>
      <c r="M14" s="1"/>
      <c r="N14" s="1"/>
      <c r="O14" s="1"/>
      <c r="P14" s="1"/>
      <c r="Q14" s="1"/>
      <c r="R14" s="1"/>
      <c r="S14" s="1"/>
      <c r="T14" s="1"/>
      <c r="U14" s="1"/>
      <c r="V14" s="1"/>
      <c r="W14" s="1"/>
      <c r="X14" s="1"/>
      <c r="Y14" s="1"/>
      <c r="Z14" s="1"/>
      <c r="AA14" s="1"/>
    </row>
    <row r="15" spans="1:27">
      <c r="A15" s="1"/>
      <c r="B15" s="1"/>
      <c r="C15" s="1"/>
      <c r="D15" s="1"/>
      <c r="E15" s="1" t="s">
        <v>131</v>
      </c>
      <c r="F15" s="1"/>
      <c r="G15" s="1"/>
      <c r="H15" s="1"/>
      <c r="I15" s="1"/>
      <c r="J15" s="1"/>
      <c r="K15" s="1"/>
      <c r="L15" s="1"/>
      <c r="M15" s="1"/>
      <c r="N15" s="1"/>
      <c r="O15" s="1"/>
      <c r="P15" s="1"/>
      <c r="Q15" s="1"/>
      <c r="R15" s="1"/>
      <c r="S15" s="1"/>
      <c r="T15" s="1"/>
      <c r="U15" s="1"/>
      <c r="V15" s="1"/>
      <c r="W15" s="1"/>
      <c r="X15" s="1"/>
      <c r="Y15" s="1"/>
      <c r="Z15" s="1"/>
      <c r="AA15" s="1"/>
    </row>
    <row r="16" spans="1:27">
      <c r="A16" s="1"/>
      <c r="B16" s="1"/>
      <c r="C16" s="1" t="s">
        <v>142</v>
      </c>
      <c r="D16" s="1"/>
      <c r="E16" t="s">
        <v>127</v>
      </c>
      <c r="F16" s="1"/>
      <c r="G16" s="1"/>
      <c r="H16" s="1"/>
      <c r="I16" s="1"/>
      <c r="J16" s="1"/>
      <c r="K16" s="1"/>
      <c r="L16" s="1"/>
      <c r="M16" s="1"/>
      <c r="N16" s="1"/>
      <c r="O16" s="1"/>
      <c r="P16" s="1"/>
      <c r="Q16" s="1"/>
      <c r="R16" s="1"/>
      <c r="S16" s="1"/>
      <c r="T16" s="1"/>
      <c r="U16" s="1"/>
      <c r="V16" s="1"/>
      <c r="W16" s="1"/>
      <c r="X16" s="1"/>
      <c r="Y16" s="1"/>
      <c r="Z16" s="1"/>
      <c r="AA16" s="1"/>
    </row>
    <row r="17" spans="1:27">
      <c r="A17" s="1"/>
      <c r="B17" s="1"/>
      <c r="C17" s="1" t="s">
        <v>134</v>
      </c>
      <c r="D17" s="1"/>
      <c r="E17" s="1" t="s">
        <v>135</v>
      </c>
      <c r="F17" s="1"/>
      <c r="G17" s="1"/>
      <c r="H17" s="1"/>
      <c r="I17" s="1"/>
      <c r="J17" s="1"/>
      <c r="K17" s="1"/>
      <c r="L17" s="1"/>
      <c r="M17" s="1"/>
      <c r="N17" s="1"/>
      <c r="O17" s="1"/>
      <c r="P17" s="1"/>
      <c r="Q17" s="1"/>
      <c r="R17" s="1"/>
      <c r="S17" s="1"/>
      <c r="T17" s="1"/>
      <c r="U17" s="1"/>
      <c r="V17" s="1"/>
      <c r="W17" s="1"/>
      <c r="X17" s="1"/>
      <c r="Y17" s="1"/>
      <c r="Z17" s="1"/>
      <c r="AA17" s="1"/>
    </row>
    <row r="18" spans="1:27">
      <c r="A18" s="1"/>
      <c r="B18" s="1"/>
      <c r="C18" s="1"/>
      <c r="D18" s="1"/>
      <c r="E18" s="1" t="s">
        <v>125</v>
      </c>
      <c r="F18" s="1"/>
      <c r="G18" s="1"/>
      <c r="H18" s="1"/>
      <c r="I18" s="1"/>
      <c r="J18" s="1"/>
      <c r="K18" s="1"/>
      <c r="L18" s="1"/>
      <c r="M18" s="1"/>
      <c r="N18" s="1"/>
      <c r="O18" s="1"/>
      <c r="P18" s="1"/>
      <c r="Q18" s="1"/>
      <c r="R18" s="1"/>
      <c r="S18" s="1"/>
      <c r="T18" s="1"/>
      <c r="U18" s="1"/>
      <c r="V18" s="1"/>
      <c r="W18" s="1"/>
      <c r="X18" s="1"/>
      <c r="Y18" s="1"/>
      <c r="Z18" s="1"/>
      <c r="AA18" s="1"/>
    </row>
    <row r="19" spans="1:27">
      <c r="A19" s="1"/>
      <c r="B19" s="1"/>
      <c r="C19" s="1"/>
      <c r="D19" s="1"/>
      <c r="E19" s="1" t="s">
        <v>126</v>
      </c>
      <c r="F19" s="1"/>
      <c r="G19" s="1"/>
      <c r="H19" s="1"/>
      <c r="I19" s="1"/>
      <c r="J19" s="1"/>
      <c r="K19" s="1"/>
      <c r="L19" s="1"/>
      <c r="M19" s="1"/>
      <c r="N19" s="1"/>
      <c r="O19" s="1"/>
      <c r="P19" s="1"/>
      <c r="Q19" s="1"/>
      <c r="R19" s="1"/>
      <c r="S19" s="1"/>
      <c r="T19" s="1"/>
      <c r="U19" s="1"/>
      <c r="V19" s="1"/>
      <c r="W19" s="1"/>
      <c r="X19" s="1"/>
      <c r="Y19" s="1"/>
      <c r="Z19" s="1"/>
      <c r="AA19" s="1"/>
    </row>
    <row r="20" spans="1:27">
      <c r="A20" s="1"/>
      <c r="B20" s="1"/>
      <c r="C20" s="1" t="s">
        <v>132</v>
      </c>
      <c r="D20" s="1"/>
      <c r="E20" s="1" t="s">
        <v>136</v>
      </c>
      <c r="F20" s="1"/>
      <c r="G20" s="1"/>
      <c r="H20" s="1"/>
      <c r="I20" s="1"/>
      <c r="J20" s="1"/>
      <c r="K20" s="1"/>
      <c r="L20" s="1"/>
      <c r="M20" s="1"/>
      <c r="N20" s="1"/>
      <c r="O20" s="1"/>
      <c r="P20" s="1"/>
      <c r="Q20" s="1"/>
      <c r="R20" s="1"/>
      <c r="S20" s="1"/>
      <c r="T20" s="1"/>
      <c r="U20" s="1"/>
      <c r="V20" s="1"/>
      <c r="W20" s="1"/>
      <c r="X20" s="1"/>
      <c r="Y20" s="1"/>
      <c r="Z20" s="1"/>
      <c r="AA20" s="1"/>
    </row>
    <row r="21" spans="1:27">
      <c r="A21" s="1"/>
      <c r="B21" s="1"/>
      <c r="C21" s="1"/>
      <c r="D21" s="1"/>
      <c r="E21" s="1" t="s">
        <v>124</v>
      </c>
      <c r="F21" s="1"/>
      <c r="G21" s="1"/>
      <c r="H21" s="1"/>
      <c r="I21" s="1"/>
      <c r="J21" s="1"/>
      <c r="K21" s="1"/>
      <c r="L21" s="1"/>
      <c r="M21" s="1"/>
      <c r="N21" s="1"/>
      <c r="O21" s="1"/>
      <c r="P21" s="1"/>
      <c r="Q21" s="1"/>
      <c r="R21" s="1"/>
      <c r="S21" s="1"/>
      <c r="T21" s="1"/>
      <c r="U21" s="1"/>
      <c r="V21" s="1"/>
      <c r="W21" s="1"/>
      <c r="X21" s="1"/>
      <c r="Y21" s="1"/>
      <c r="Z21" s="1"/>
      <c r="AA21" s="1"/>
    </row>
    <row r="22" spans="1:27">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c r="A23" s="1"/>
      <c r="B23" s="1"/>
      <c r="C23" s="1" t="s">
        <v>137</v>
      </c>
      <c r="D23" s="1"/>
      <c r="E23" s="1" t="s">
        <v>138</v>
      </c>
      <c r="F23" s="1"/>
      <c r="G23" s="1"/>
      <c r="H23" s="1"/>
      <c r="I23" s="1"/>
      <c r="J23" s="1"/>
      <c r="K23" s="1"/>
      <c r="L23" s="1"/>
      <c r="M23" s="1"/>
      <c r="N23" s="1"/>
      <c r="O23" s="1"/>
      <c r="P23" s="1"/>
      <c r="Q23" s="1"/>
      <c r="R23" s="1"/>
      <c r="S23" s="1"/>
      <c r="T23" s="1"/>
      <c r="U23" s="1"/>
      <c r="V23" s="1"/>
      <c r="W23" s="1"/>
      <c r="X23" s="1"/>
      <c r="Y23" s="1"/>
      <c r="Z23" s="1"/>
      <c r="AA23" s="1"/>
    </row>
    <row r="24" spans="1:27">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c r="A25" s="1"/>
      <c r="B25" s="1"/>
      <c r="C25" s="1" t="s">
        <v>139</v>
      </c>
      <c r="D25" s="1"/>
      <c r="E25" s="1"/>
      <c r="F25" s="1"/>
      <c r="G25" s="1"/>
      <c r="H25" s="1"/>
      <c r="I25" s="1"/>
      <c r="J25" s="1"/>
      <c r="K25" s="1"/>
      <c r="L25" s="1"/>
      <c r="M25" s="1"/>
      <c r="N25" s="1"/>
      <c r="O25" s="1"/>
      <c r="P25" s="1"/>
      <c r="Q25" s="1"/>
      <c r="R25" s="1"/>
      <c r="S25" s="1"/>
      <c r="T25" s="1"/>
      <c r="U25" s="1"/>
      <c r="V25" s="1"/>
      <c r="W25" s="1"/>
      <c r="X25" s="1"/>
      <c r="Y25" s="1"/>
      <c r="Z25" s="1"/>
      <c r="AA25" s="1"/>
    </row>
    <row r="26" spans="1:27">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c r="A66" s="1"/>
      <c r="B66" s="1"/>
      <c r="C66" s="1"/>
      <c r="D66" s="1"/>
      <c r="E66" s="1"/>
      <c r="F66" s="1"/>
      <c r="G66" s="1"/>
      <c r="H66" s="1"/>
      <c r="I66" s="1"/>
      <c r="J66" s="1"/>
      <c r="K66" s="1"/>
      <c r="L66" s="1"/>
      <c r="M66" s="1"/>
      <c r="N66" s="1"/>
      <c r="O66" s="1"/>
      <c r="P66" s="1"/>
      <c r="Q66" s="1"/>
    </row>
    <row r="67" spans="1:27">
      <c r="A67" s="1"/>
      <c r="B67" s="1"/>
      <c r="C67" s="1"/>
      <c r="D67" s="1"/>
      <c r="E67" s="1"/>
      <c r="F67" s="1"/>
      <c r="G67" s="1"/>
      <c r="H67" s="1"/>
      <c r="I67" s="1"/>
      <c r="J67" s="1"/>
      <c r="K67" s="1"/>
      <c r="L67" s="1"/>
      <c r="M67" s="1"/>
      <c r="N67" s="1"/>
      <c r="O67" s="1"/>
      <c r="P67" s="1"/>
      <c r="Q67" s="1"/>
    </row>
    <row r="68" spans="1:27">
      <c r="A68" s="1"/>
      <c r="B68" s="1"/>
      <c r="C68" s="1"/>
      <c r="D68" s="1"/>
      <c r="E68" s="1"/>
      <c r="F68" s="1"/>
      <c r="G68" s="1"/>
      <c r="H68" s="1"/>
      <c r="I68" s="1"/>
      <c r="J68" s="1"/>
      <c r="K68" s="1"/>
      <c r="L68" s="1"/>
      <c r="M68" s="1"/>
      <c r="N68" s="1"/>
      <c r="O68" s="1"/>
      <c r="P68" s="1"/>
      <c r="Q68" s="1"/>
    </row>
    <row r="69" spans="1:27">
      <c r="A69" s="1"/>
      <c r="B69" s="1"/>
      <c r="C69" s="1"/>
      <c r="D69" s="1"/>
      <c r="E69" s="1"/>
      <c r="F69" s="1"/>
      <c r="G69" s="1"/>
      <c r="H69" s="1"/>
      <c r="I69" s="1"/>
      <c r="J69" s="1"/>
      <c r="K69" s="1"/>
      <c r="L69" s="1"/>
      <c r="M69" s="1"/>
      <c r="N69" s="1"/>
      <c r="O69" s="1"/>
      <c r="P69" s="1"/>
      <c r="Q69" s="1"/>
    </row>
    <row r="70" spans="1:27">
      <c r="A70" s="1"/>
      <c r="B70" s="1"/>
      <c r="C70" s="1"/>
      <c r="D70" s="1"/>
      <c r="E70" s="1"/>
      <c r="F70" s="1"/>
      <c r="G70" s="1"/>
      <c r="H70" s="1"/>
      <c r="I70" s="1"/>
      <c r="J70" s="1"/>
      <c r="K70" s="1"/>
      <c r="L70" s="1"/>
      <c r="M70" s="1"/>
      <c r="N70" s="1"/>
      <c r="O70" s="1"/>
      <c r="P70" s="1"/>
      <c r="Q70" s="1"/>
    </row>
    <row r="71" spans="1:27">
      <c r="A71" s="1"/>
      <c r="B71" s="1"/>
      <c r="C71" s="1"/>
      <c r="D71" s="1"/>
      <c r="E71" s="1"/>
      <c r="F71" s="1"/>
      <c r="G71" s="1"/>
      <c r="H71" s="1"/>
      <c r="I71" s="1"/>
      <c r="J71" s="1"/>
      <c r="K71" s="1"/>
      <c r="L71" s="1"/>
      <c r="M71" s="1"/>
      <c r="N71" s="1"/>
      <c r="O71" s="1"/>
      <c r="P71" s="1"/>
      <c r="Q71" s="1"/>
    </row>
    <row r="72" spans="1:27">
      <c r="A72" s="1"/>
      <c r="B72" s="1"/>
      <c r="C72" s="1"/>
      <c r="D72" s="1"/>
      <c r="E72" s="1"/>
      <c r="F72" s="1"/>
      <c r="G72" s="1"/>
      <c r="H72" s="1"/>
      <c r="I72" s="1"/>
      <c r="J72" s="1"/>
      <c r="K72" s="1"/>
      <c r="L72" s="1"/>
      <c r="M72" s="1"/>
      <c r="N72" s="1"/>
      <c r="O72" s="1"/>
      <c r="P72" s="1"/>
      <c r="Q72" s="1"/>
    </row>
    <row r="73" spans="1:27">
      <c r="A73" s="1"/>
      <c r="B73" s="1"/>
      <c r="C73" s="1"/>
      <c r="D73" s="1"/>
      <c r="E73" s="1"/>
      <c r="F73" s="1"/>
      <c r="G73" s="1"/>
      <c r="H73" s="1"/>
      <c r="I73" s="1"/>
      <c r="J73" s="1"/>
      <c r="K73" s="1"/>
      <c r="L73" s="1"/>
      <c r="M73" s="1"/>
      <c r="N73" s="1"/>
      <c r="O73" s="1"/>
      <c r="P73" s="1"/>
      <c r="Q73" s="1"/>
    </row>
    <row r="74" spans="1:27">
      <c r="A74" s="1"/>
      <c r="B74" s="1"/>
      <c r="C74" s="1"/>
      <c r="D74" s="1"/>
      <c r="E74" s="1"/>
      <c r="F74" s="1"/>
      <c r="G74" s="1"/>
      <c r="H74" s="1"/>
      <c r="I74" s="1"/>
      <c r="J74" s="1"/>
      <c r="K74" s="1"/>
      <c r="L74" s="1"/>
      <c r="M74" s="1"/>
      <c r="N74" s="1"/>
      <c r="O74" s="1"/>
      <c r="P74" s="1"/>
      <c r="Q74" s="1"/>
    </row>
    <row r="75" spans="1:27">
      <c r="A75" s="1"/>
      <c r="B75" s="1"/>
      <c r="C75" s="1"/>
      <c r="D75" s="1"/>
      <c r="E75" s="1"/>
      <c r="F75" s="1"/>
      <c r="G75" s="1"/>
      <c r="H75" s="1"/>
      <c r="I75" s="1"/>
      <c r="J75" s="1"/>
      <c r="K75" s="1"/>
      <c r="L75" s="1"/>
      <c r="M75" s="1"/>
      <c r="N75" s="1"/>
      <c r="O75" s="1"/>
      <c r="P75" s="1"/>
      <c r="Q75" s="1"/>
    </row>
    <row r="76" spans="1:27">
      <c r="A76" s="1"/>
      <c r="B76" s="1"/>
      <c r="C76" s="1"/>
      <c r="D76" s="1"/>
      <c r="E76" s="1"/>
      <c r="F76" s="1"/>
      <c r="G76" s="1"/>
      <c r="H76" s="1"/>
      <c r="I76" s="1"/>
      <c r="J76" s="1"/>
      <c r="K76" s="1"/>
      <c r="L76" s="1"/>
      <c r="M76" s="1"/>
      <c r="N76" s="1"/>
      <c r="O76" s="1"/>
      <c r="P76" s="1"/>
      <c r="Q76" s="1"/>
    </row>
    <row r="77" spans="1:27">
      <c r="A77" s="1"/>
      <c r="B77" s="1"/>
      <c r="C77" s="1"/>
      <c r="D77" s="1"/>
      <c r="E77" s="1"/>
      <c r="F77" s="1"/>
      <c r="G77" s="1"/>
      <c r="H77" s="1"/>
      <c r="I77" s="1"/>
      <c r="J77" s="1"/>
      <c r="K77" s="1"/>
      <c r="L77" s="1"/>
      <c r="M77" s="1"/>
      <c r="N77" s="1"/>
      <c r="O77" s="1"/>
      <c r="P77" s="1"/>
      <c r="Q77" s="1"/>
    </row>
    <row r="78" spans="1:27">
      <c r="A78" s="1"/>
      <c r="B78" s="1"/>
      <c r="C78" s="1"/>
      <c r="D78" s="1"/>
      <c r="E78" s="1"/>
      <c r="F78" s="1"/>
      <c r="G78" s="1"/>
      <c r="H78" s="1"/>
      <c r="I78" s="1"/>
      <c r="J78" s="1"/>
      <c r="K78" s="1"/>
      <c r="L78" s="1"/>
      <c r="M78" s="1"/>
      <c r="N78" s="1"/>
      <c r="O78" s="1"/>
      <c r="P78" s="1"/>
      <c r="Q78" s="1"/>
    </row>
    <row r="79" spans="1:27">
      <c r="A79" s="1"/>
      <c r="B79" s="1"/>
      <c r="C79" s="1"/>
      <c r="D79" s="1"/>
      <c r="E79" s="1"/>
      <c r="F79" s="1"/>
      <c r="G79" s="1"/>
      <c r="H79" s="1"/>
      <c r="I79" s="1"/>
      <c r="J79" s="1"/>
      <c r="K79" s="1"/>
      <c r="L79" s="1"/>
      <c r="M79" s="1"/>
      <c r="N79" s="1"/>
      <c r="O79" s="1"/>
      <c r="P79" s="1"/>
      <c r="Q79" s="1"/>
    </row>
    <row r="80" spans="1:27">
      <c r="A80" s="1"/>
      <c r="B80" s="1"/>
      <c r="C80" s="1"/>
      <c r="D80" s="1"/>
      <c r="E80" s="1"/>
      <c r="F80" s="1"/>
      <c r="G80" s="1"/>
      <c r="H80" s="1"/>
      <c r="I80" s="1"/>
      <c r="J80" s="1"/>
      <c r="K80" s="1"/>
      <c r="L80" s="1"/>
      <c r="M80" s="1"/>
      <c r="N80" s="1"/>
      <c r="O80" s="1"/>
      <c r="P80" s="1"/>
      <c r="Q80" s="1"/>
    </row>
    <row r="81" spans="1:17">
      <c r="A81" s="1"/>
      <c r="B81" s="1"/>
      <c r="C81" s="1"/>
      <c r="D81" s="1"/>
      <c r="E81" s="1"/>
      <c r="F81" s="1"/>
      <c r="G81" s="1"/>
      <c r="H81" s="1"/>
      <c r="I81" s="1"/>
      <c r="J81" s="1"/>
      <c r="K81" s="1"/>
      <c r="L81" s="1"/>
      <c r="M81" s="1"/>
      <c r="N81" s="1"/>
      <c r="O81" s="1"/>
      <c r="P81" s="1"/>
      <c r="Q81"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4F85503BC24A4E8D8A7B10FE9DFB0A" ma:contentTypeVersion="4" ma:contentTypeDescription="Een nieuw document maken." ma:contentTypeScope="" ma:versionID="0297b616ade0826d82abb5316b9463b5">
  <xsd:schema xmlns:xsd="http://www.w3.org/2001/XMLSchema" xmlns:xs="http://www.w3.org/2001/XMLSchema" xmlns:p="http://schemas.microsoft.com/office/2006/metadata/properties" xmlns:ns2="db5e25c6-93f2-49d7-b292-55f52202f5e4" xmlns:ns3="beface78-bb81-4691-a1e0-21856922f37e" targetNamespace="http://schemas.microsoft.com/office/2006/metadata/properties" ma:root="true" ma:fieldsID="8efc0d2b45617388582ca61b1d89887c" ns2:_="" ns3:_="">
    <xsd:import namespace="db5e25c6-93f2-49d7-b292-55f52202f5e4"/>
    <xsd:import namespace="beface78-bb81-4691-a1e0-21856922f37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5e25c6-93f2-49d7-b292-55f52202f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face78-bb81-4691-a1e0-21856922f37e"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556D82-5AC1-423A-A185-34C4DB7227E7}"/>
</file>

<file path=customXml/itemProps2.xml><?xml version="1.0" encoding="utf-8"?>
<ds:datastoreItem xmlns:ds="http://schemas.openxmlformats.org/officeDocument/2006/customXml" ds:itemID="{253F7331-2432-4E82-9DFA-1625DD3063FB}"/>
</file>

<file path=customXml/itemProps3.xml><?xml version="1.0" encoding="utf-8"?>
<ds:datastoreItem xmlns:ds="http://schemas.openxmlformats.org/officeDocument/2006/customXml" ds:itemID="{E26FEFED-435F-441C-9E75-92AA3EB6EEBB}"/>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User_interface</vt:lpstr>
      <vt:lpstr>Calculations</vt:lpstr>
      <vt:lpstr>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Terwel</dc:creator>
  <cp:lastModifiedBy>Rob Terwel</cp:lastModifiedBy>
  <dcterms:created xsi:type="dcterms:W3CDTF">2020-02-17T09:28:55Z</dcterms:created>
  <dcterms:modified xsi:type="dcterms:W3CDTF">2020-05-06T09:52:13Z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0x010100244F85503BC24A4E8D8A7B10FE9DFB0A</vt:lpwstr>
  </property>
</Properties>
</file>